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F584EECC-40F4-40AB-9795-D331382FF7F1}" xr6:coauthVersionLast="47" xr6:coauthVersionMax="47" xr10:uidLastSave="{00000000-0000-0000-0000-000000000000}"/>
  <bookViews>
    <workbookView xWindow="1170" yWindow="780" windowWidth="25875" windowHeight="15420" xr2:uid="{00000000-000D-0000-FFFF-FFFF00000000}"/>
  </bookViews>
  <sheets>
    <sheet name="Profit and Loss" sheetId="1" r:id="rId1"/>
  </sheets>
  <definedNames>
    <definedName name="_xlnm.Print_Area" localSheetId="0">'Profit and Loss'!$A$1:$N$137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D132" i="1"/>
  <c r="L131" i="1"/>
  <c r="L132" i="1" s="1"/>
  <c r="K131" i="1"/>
  <c r="K132" i="1" s="1"/>
  <c r="J131" i="1"/>
  <c r="J132" i="1" s="1"/>
  <c r="I131" i="1"/>
  <c r="I132" i="1" s="1"/>
  <c r="E131" i="1"/>
  <c r="D131" i="1"/>
  <c r="C131" i="1"/>
  <c r="C132" i="1" s="1"/>
  <c r="L130" i="1"/>
  <c r="K130" i="1"/>
  <c r="J130" i="1"/>
  <c r="I130" i="1"/>
  <c r="H130" i="1"/>
  <c r="H131" i="1" s="1"/>
  <c r="H132" i="1" s="1"/>
  <c r="G130" i="1"/>
  <c r="G131" i="1" s="1"/>
  <c r="G132" i="1" s="1"/>
  <c r="F130" i="1"/>
  <c r="F131" i="1" s="1"/>
  <c r="F132" i="1" s="1"/>
  <c r="E130" i="1"/>
  <c r="D130" i="1"/>
  <c r="C130" i="1"/>
  <c r="B130" i="1"/>
  <c r="M129" i="1"/>
  <c r="N129" i="1" s="1"/>
  <c r="N128" i="1"/>
  <c r="M128" i="1"/>
  <c r="N127" i="1"/>
  <c r="D126" i="1"/>
  <c r="C126" i="1"/>
  <c r="B126" i="1"/>
  <c r="N126" i="1" s="1"/>
  <c r="N122" i="1"/>
  <c r="M122" i="1"/>
  <c r="L121" i="1"/>
  <c r="K121" i="1"/>
  <c r="J121" i="1"/>
  <c r="I121" i="1"/>
  <c r="H121" i="1"/>
  <c r="F121" i="1"/>
  <c r="D121" i="1"/>
  <c r="C121" i="1"/>
  <c r="B121" i="1"/>
  <c r="M120" i="1"/>
  <c r="N120" i="1" s="1"/>
  <c r="G120" i="1"/>
  <c r="E120" i="1"/>
  <c r="M119" i="1"/>
  <c r="G119" i="1"/>
  <c r="G121" i="1" s="1"/>
  <c r="E119" i="1"/>
  <c r="N118" i="1"/>
  <c r="J117" i="1"/>
  <c r="I117" i="1"/>
  <c r="G117" i="1"/>
  <c r="F117" i="1"/>
  <c r="N116" i="1"/>
  <c r="M116" i="1"/>
  <c r="L116" i="1"/>
  <c r="K116" i="1"/>
  <c r="I116" i="1"/>
  <c r="H116" i="1"/>
  <c r="G116" i="1"/>
  <c r="F116" i="1"/>
  <c r="E116" i="1"/>
  <c r="E117" i="1" s="1"/>
  <c r="D116" i="1"/>
  <c r="C116" i="1"/>
  <c r="B116" i="1"/>
  <c r="M115" i="1"/>
  <c r="M117" i="1" s="1"/>
  <c r="L115" i="1"/>
  <c r="L117" i="1" s="1"/>
  <c r="K115" i="1"/>
  <c r="K117" i="1" s="1"/>
  <c r="I115" i="1"/>
  <c r="H115" i="1"/>
  <c r="H117" i="1" s="1"/>
  <c r="G115" i="1"/>
  <c r="F115" i="1"/>
  <c r="E115" i="1"/>
  <c r="D115" i="1"/>
  <c r="C115" i="1"/>
  <c r="B115" i="1"/>
  <c r="N114" i="1"/>
  <c r="M113" i="1"/>
  <c r="N113" i="1" s="1"/>
  <c r="M112" i="1"/>
  <c r="L112" i="1"/>
  <c r="K112" i="1"/>
  <c r="J112" i="1"/>
  <c r="I112" i="1"/>
  <c r="H112" i="1"/>
  <c r="F112" i="1"/>
  <c r="E112" i="1"/>
  <c r="D112" i="1"/>
  <c r="C112" i="1"/>
  <c r="B112" i="1"/>
  <c r="I111" i="1"/>
  <c r="G111" i="1"/>
  <c r="G112" i="1" s="1"/>
  <c r="N112" i="1" s="1"/>
  <c r="N110" i="1"/>
  <c r="I110" i="1"/>
  <c r="G110" i="1"/>
  <c r="N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B107" i="1"/>
  <c r="B106" i="1"/>
  <c r="N106" i="1" s="1"/>
  <c r="N105" i="1"/>
  <c r="M104" i="1"/>
  <c r="L104" i="1"/>
  <c r="I104" i="1"/>
  <c r="H104" i="1"/>
  <c r="G104" i="1"/>
  <c r="F104" i="1"/>
  <c r="E104" i="1"/>
  <c r="D104" i="1"/>
  <c r="C104" i="1"/>
  <c r="H103" i="1"/>
  <c r="B103" i="1"/>
  <c r="N103" i="1" s="1"/>
  <c r="K102" i="1"/>
  <c r="K104" i="1" s="1"/>
  <c r="J102" i="1"/>
  <c r="J104" i="1" s="1"/>
  <c r="D102" i="1"/>
  <c r="B102" i="1"/>
  <c r="B104" i="1" s="1"/>
  <c r="N104" i="1" s="1"/>
  <c r="N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B99" i="1"/>
  <c r="N99" i="1" s="1"/>
  <c r="B98" i="1"/>
  <c r="N98" i="1" s="1"/>
  <c r="N97" i="1"/>
  <c r="M96" i="1"/>
  <c r="E96" i="1"/>
  <c r="M95" i="1"/>
  <c r="L95" i="1"/>
  <c r="L96" i="1" s="1"/>
  <c r="K95" i="1"/>
  <c r="J95" i="1"/>
  <c r="I95" i="1"/>
  <c r="H95" i="1"/>
  <c r="G95" i="1"/>
  <c r="F95" i="1"/>
  <c r="E95" i="1"/>
  <c r="D95" i="1"/>
  <c r="D96" i="1" s="1"/>
  <c r="C95" i="1"/>
  <c r="B95" i="1"/>
  <c r="M94" i="1"/>
  <c r="L94" i="1"/>
  <c r="K94" i="1"/>
  <c r="J94" i="1"/>
  <c r="I94" i="1"/>
  <c r="H94" i="1"/>
  <c r="H96" i="1" s="1"/>
  <c r="G94" i="1"/>
  <c r="G96" i="1" s="1"/>
  <c r="F94" i="1"/>
  <c r="N94" i="1" s="1"/>
  <c r="E94" i="1"/>
  <c r="D94" i="1"/>
  <c r="C94" i="1"/>
  <c r="B94" i="1"/>
  <c r="B96" i="1" s="1"/>
  <c r="N93" i="1"/>
  <c r="L92" i="1"/>
  <c r="K92" i="1"/>
  <c r="J92" i="1"/>
  <c r="I92" i="1"/>
  <c r="H92" i="1"/>
  <c r="G92" i="1"/>
  <c r="F92" i="1"/>
  <c r="E92" i="1"/>
  <c r="D92" i="1"/>
  <c r="C92" i="1"/>
  <c r="M91" i="1"/>
  <c r="B91" i="1"/>
  <c r="N91" i="1" s="1"/>
  <c r="N90" i="1"/>
  <c r="M90" i="1"/>
  <c r="M92" i="1" s="1"/>
  <c r="B90" i="1"/>
  <c r="B92" i="1" s="1"/>
  <c r="N92" i="1" s="1"/>
  <c r="N89" i="1"/>
  <c r="M88" i="1"/>
  <c r="L88" i="1"/>
  <c r="J88" i="1"/>
  <c r="I88" i="1"/>
  <c r="H88" i="1"/>
  <c r="G88" i="1"/>
  <c r="F88" i="1"/>
  <c r="E88" i="1"/>
  <c r="D88" i="1"/>
  <c r="C88" i="1"/>
  <c r="B88" i="1"/>
  <c r="N87" i="1"/>
  <c r="K87" i="1"/>
  <c r="K88" i="1" s="1"/>
  <c r="L86" i="1"/>
  <c r="N86" i="1" s="1"/>
  <c r="N85" i="1"/>
  <c r="C84" i="1"/>
  <c r="M83" i="1"/>
  <c r="L83" i="1"/>
  <c r="K83" i="1"/>
  <c r="J83" i="1"/>
  <c r="J84" i="1" s="1"/>
  <c r="I83" i="1"/>
  <c r="H83" i="1"/>
  <c r="G83" i="1"/>
  <c r="F83" i="1"/>
  <c r="E83" i="1"/>
  <c r="D83" i="1"/>
  <c r="B83" i="1"/>
  <c r="M82" i="1"/>
  <c r="M84" i="1" s="1"/>
  <c r="L82" i="1"/>
  <c r="L84" i="1" s="1"/>
  <c r="K82" i="1"/>
  <c r="K84" i="1" s="1"/>
  <c r="J82" i="1"/>
  <c r="I82" i="1"/>
  <c r="H82" i="1"/>
  <c r="G82" i="1"/>
  <c r="F82" i="1"/>
  <c r="F84" i="1" s="1"/>
  <c r="E82" i="1"/>
  <c r="E84" i="1" s="1"/>
  <c r="D82" i="1"/>
  <c r="D84" i="1" s="1"/>
  <c r="B82" i="1"/>
  <c r="N82" i="1" s="1"/>
  <c r="N81" i="1"/>
  <c r="L80" i="1"/>
  <c r="D80" i="1"/>
  <c r="C80" i="1"/>
  <c r="B80" i="1"/>
  <c r="M79" i="1"/>
  <c r="M80" i="1" s="1"/>
  <c r="L79" i="1"/>
  <c r="K79" i="1"/>
  <c r="J79" i="1"/>
  <c r="I79" i="1"/>
  <c r="H79" i="1"/>
  <c r="N79" i="1" s="1"/>
  <c r="G79" i="1"/>
  <c r="F79" i="1"/>
  <c r="E79" i="1"/>
  <c r="E80" i="1" s="1"/>
  <c r="M78" i="1"/>
  <c r="L78" i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N78" i="1" s="1"/>
  <c r="N77" i="1"/>
  <c r="M76" i="1"/>
  <c r="L76" i="1"/>
  <c r="K76" i="1"/>
  <c r="J76" i="1"/>
  <c r="H76" i="1"/>
  <c r="C76" i="1"/>
  <c r="B76" i="1"/>
  <c r="M75" i="1"/>
  <c r="K75" i="1"/>
  <c r="I75" i="1"/>
  <c r="G75" i="1"/>
  <c r="F75" i="1"/>
  <c r="E75" i="1"/>
  <c r="D75" i="1"/>
  <c r="N75" i="1" s="1"/>
  <c r="B75" i="1"/>
  <c r="M74" i="1"/>
  <c r="K74" i="1"/>
  <c r="I74" i="1"/>
  <c r="I76" i="1" s="1"/>
  <c r="G74" i="1"/>
  <c r="F74" i="1"/>
  <c r="F76" i="1" s="1"/>
  <c r="E74" i="1"/>
  <c r="E76" i="1" s="1"/>
  <c r="D74" i="1"/>
  <c r="B74" i="1"/>
  <c r="N73" i="1"/>
  <c r="M72" i="1"/>
  <c r="L72" i="1"/>
  <c r="K72" i="1"/>
  <c r="J72" i="1"/>
  <c r="I72" i="1"/>
  <c r="F72" i="1"/>
  <c r="D72" i="1"/>
  <c r="C72" i="1"/>
  <c r="M71" i="1"/>
  <c r="H71" i="1"/>
  <c r="G71" i="1"/>
  <c r="F71" i="1"/>
  <c r="E71" i="1"/>
  <c r="D71" i="1"/>
  <c r="B71" i="1"/>
  <c r="N71" i="1" s="1"/>
  <c r="M70" i="1"/>
  <c r="H70" i="1"/>
  <c r="H72" i="1" s="1"/>
  <c r="G70" i="1"/>
  <c r="G72" i="1" s="1"/>
  <c r="F70" i="1"/>
  <c r="E70" i="1"/>
  <c r="E72" i="1" s="1"/>
  <c r="D70" i="1"/>
  <c r="B70" i="1"/>
  <c r="N69" i="1"/>
  <c r="I68" i="1"/>
  <c r="C68" i="1"/>
  <c r="B68" i="1"/>
  <c r="M67" i="1"/>
  <c r="L67" i="1"/>
  <c r="K67" i="1"/>
  <c r="J67" i="1"/>
  <c r="I67" i="1"/>
  <c r="H67" i="1"/>
  <c r="H68" i="1" s="1"/>
  <c r="G67" i="1"/>
  <c r="N67" i="1" s="1"/>
  <c r="F67" i="1"/>
  <c r="E67" i="1"/>
  <c r="D67" i="1"/>
  <c r="C67" i="1"/>
  <c r="B67" i="1"/>
  <c r="M66" i="1"/>
  <c r="L66" i="1"/>
  <c r="L68" i="1" s="1"/>
  <c r="K66" i="1"/>
  <c r="K68" i="1" s="1"/>
  <c r="J66" i="1"/>
  <c r="J68" i="1" s="1"/>
  <c r="I66" i="1"/>
  <c r="H66" i="1"/>
  <c r="G66" i="1"/>
  <c r="F66" i="1"/>
  <c r="F68" i="1" s="1"/>
  <c r="E66" i="1"/>
  <c r="D66" i="1"/>
  <c r="C66" i="1"/>
  <c r="B66" i="1"/>
  <c r="N66" i="1" s="1"/>
  <c r="G65" i="1"/>
  <c r="E65" i="1"/>
  <c r="D65" i="1"/>
  <c r="D68" i="1" s="1"/>
  <c r="C65" i="1"/>
  <c r="B65" i="1"/>
  <c r="N65" i="1" s="1"/>
  <c r="L62" i="1"/>
  <c r="L61" i="1"/>
  <c r="K61" i="1"/>
  <c r="J61" i="1"/>
  <c r="I61" i="1"/>
  <c r="H61" i="1"/>
  <c r="G61" i="1"/>
  <c r="F61" i="1"/>
  <c r="C61" i="1"/>
  <c r="B61" i="1"/>
  <c r="N60" i="1"/>
  <c r="M60" i="1"/>
  <c r="M61" i="1" s="1"/>
  <c r="K60" i="1"/>
  <c r="F60" i="1"/>
  <c r="E60" i="1"/>
  <c r="E61" i="1" s="1"/>
  <c r="C60" i="1"/>
  <c r="D59" i="1"/>
  <c r="D61" i="1" s="1"/>
  <c r="L58" i="1"/>
  <c r="E58" i="1"/>
  <c r="D58" i="1"/>
  <c r="M57" i="1"/>
  <c r="K57" i="1"/>
  <c r="K58" i="1" s="1"/>
  <c r="J57" i="1"/>
  <c r="J58" i="1" s="1"/>
  <c r="I57" i="1"/>
  <c r="I58" i="1" s="1"/>
  <c r="H57" i="1"/>
  <c r="H58" i="1" s="1"/>
  <c r="G57" i="1"/>
  <c r="F57" i="1"/>
  <c r="D57" i="1"/>
  <c r="C57" i="1"/>
  <c r="B57" i="1"/>
  <c r="M56" i="1"/>
  <c r="M58" i="1" s="1"/>
  <c r="L56" i="1"/>
  <c r="J56" i="1"/>
  <c r="I56" i="1"/>
  <c r="H56" i="1"/>
  <c r="G56" i="1"/>
  <c r="G58" i="1" s="1"/>
  <c r="F56" i="1"/>
  <c r="F58" i="1" s="1"/>
  <c r="E56" i="1"/>
  <c r="D56" i="1"/>
  <c r="C56" i="1"/>
  <c r="C58" i="1" s="1"/>
  <c r="B56" i="1"/>
  <c r="M55" i="1"/>
  <c r="L55" i="1"/>
  <c r="K55" i="1"/>
  <c r="J55" i="1"/>
  <c r="I55" i="1"/>
  <c r="H55" i="1"/>
  <c r="G55" i="1"/>
  <c r="F55" i="1"/>
  <c r="E55" i="1"/>
  <c r="D55" i="1"/>
  <c r="C55" i="1"/>
  <c r="B55" i="1"/>
  <c r="N55" i="1" s="1"/>
  <c r="N54" i="1"/>
  <c r="D54" i="1"/>
  <c r="N53" i="1"/>
  <c r="L52" i="1"/>
  <c r="D52" i="1"/>
  <c r="D62" i="1" s="1"/>
  <c r="C52" i="1"/>
  <c r="C62" i="1" s="1"/>
  <c r="B52" i="1"/>
  <c r="M51" i="1"/>
  <c r="N51" i="1" s="1"/>
  <c r="K51" i="1"/>
  <c r="J51" i="1"/>
  <c r="I51" i="1"/>
  <c r="H51" i="1"/>
  <c r="G51" i="1"/>
  <c r="F51" i="1"/>
  <c r="F52" i="1" s="1"/>
  <c r="E51" i="1"/>
  <c r="E52" i="1" s="1"/>
  <c r="D51" i="1"/>
  <c r="C51" i="1"/>
  <c r="B51" i="1"/>
  <c r="M50" i="1"/>
  <c r="K50" i="1"/>
  <c r="K52" i="1" s="1"/>
  <c r="J50" i="1"/>
  <c r="J52" i="1" s="1"/>
  <c r="I50" i="1"/>
  <c r="I52" i="1" s="1"/>
  <c r="H50" i="1"/>
  <c r="H52" i="1" s="1"/>
  <c r="G50" i="1"/>
  <c r="G52" i="1" s="1"/>
  <c r="F50" i="1"/>
  <c r="E50" i="1"/>
  <c r="D50" i="1"/>
  <c r="C50" i="1"/>
  <c r="B50" i="1"/>
  <c r="N49" i="1"/>
  <c r="M48" i="1"/>
  <c r="L48" i="1"/>
  <c r="J48" i="1"/>
  <c r="H48" i="1"/>
  <c r="G48" i="1"/>
  <c r="F48" i="1"/>
  <c r="D48" i="1"/>
  <c r="C48" i="1"/>
  <c r="B48" i="1"/>
  <c r="K47" i="1"/>
  <c r="N47" i="1" s="1"/>
  <c r="I47" i="1"/>
  <c r="G47" i="1"/>
  <c r="E47" i="1"/>
  <c r="C47" i="1"/>
  <c r="B47" i="1"/>
  <c r="K46" i="1"/>
  <c r="I46" i="1"/>
  <c r="I48" i="1" s="1"/>
  <c r="G46" i="1"/>
  <c r="E46" i="1"/>
  <c r="E48" i="1" s="1"/>
  <c r="E62" i="1" s="1"/>
  <c r="C46" i="1"/>
  <c r="B46" i="1"/>
  <c r="N45" i="1"/>
  <c r="G42" i="1"/>
  <c r="F42" i="1"/>
  <c r="E42" i="1"/>
  <c r="N42" i="1" s="1"/>
  <c r="N41" i="1"/>
  <c r="D41" i="1"/>
  <c r="B40" i="1"/>
  <c r="N40" i="1" s="1"/>
  <c r="K39" i="1"/>
  <c r="I39" i="1"/>
  <c r="D39" i="1"/>
  <c r="C39" i="1"/>
  <c r="B39" i="1"/>
  <c r="M38" i="1"/>
  <c r="M39" i="1" s="1"/>
  <c r="N37" i="1"/>
  <c r="M37" i="1"/>
  <c r="L36" i="1"/>
  <c r="L39" i="1" s="1"/>
  <c r="K36" i="1"/>
  <c r="J36" i="1"/>
  <c r="J39" i="1" s="1"/>
  <c r="I36" i="1"/>
  <c r="H36" i="1"/>
  <c r="H39" i="1" s="1"/>
  <c r="G36" i="1"/>
  <c r="G39" i="1" s="1"/>
  <c r="F36" i="1"/>
  <c r="F39" i="1" s="1"/>
  <c r="E36" i="1"/>
  <c r="E39" i="1" s="1"/>
  <c r="D36" i="1"/>
  <c r="F35" i="1"/>
  <c r="C35" i="1"/>
  <c r="B35" i="1"/>
  <c r="M34" i="1"/>
  <c r="L34" i="1"/>
  <c r="K34" i="1"/>
  <c r="J34" i="1"/>
  <c r="I34" i="1"/>
  <c r="H34" i="1"/>
  <c r="H35" i="1" s="1"/>
  <c r="G34" i="1"/>
  <c r="G35" i="1" s="1"/>
  <c r="F34" i="1"/>
  <c r="E34" i="1"/>
  <c r="D34" i="1"/>
  <c r="M33" i="1"/>
  <c r="M35" i="1" s="1"/>
  <c r="L33" i="1"/>
  <c r="L35" i="1" s="1"/>
  <c r="K33" i="1"/>
  <c r="K35" i="1" s="1"/>
  <c r="J33" i="1"/>
  <c r="J35" i="1" s="1"/>
  <c r="I33" i="1"/>
  <c r="H33" i="1"/>
  <c r="G33" i="1"/>
  <c r="F33" i="1"/>
  <c r="E33" i="1"/>
  <c r="E35" i="1" s="1"/>
  <c r="D33" i="1"/>
  <c r="D35" i="1" s="1"/>
  <c r="N32" i="1"/>
  <c r="N31" i="1"/>
  <c r="C31" i="1"/>
  <c r="M30" i="1"/>
  <c r="L30" i="1"/>
  <c r="K30" i="1"/>
  <c r="J30" i="1"/>
  <c r="H30" i="1"/>
  <c r="G30" i="1"/>
  <c r="D30" i="1"/>
  <c r="C30" i="1"/>
  <c r="B30" i="1"/>
  <c r="N29" i="1"/>
  <c r="I29" i="1"/>
  <c r="I30" i="1" s="1"/>
  <c r="H29" i="1"/>
  <c r="F29" i="1"/>
  <c r="E29" i="1"/>
  <c r="B29" i="1"/>
  <c r="I28" i="1"/>
  <c r="F28" i="1"/>
  <c r="F30" i="1" s="1"/>
  <c r="E28" i="1"/>
  <c r="E30" i="1" s="1"/>
  <c r="B28" i="1"/>
  <c r="N27" i="1"/>
  <c r="M26" i="1"/>
  <c r="L26" i="1"/>
  <c r="K26" i="1"/>
  <c r="J26" i="1"/>
  <c r="I26" i="1"/>
  <c r="H26" i="1"/>
  <c r="G26" i="1"/>
  <c r="D26" i="1"/>
  <c r="C26" i="1"/>
  <c r="B26" i="1"/>
  <c r="N25" i="1"/>
  <c r="I25" i="1"/>
  <c r="F25" i="1"/>
  <c r="E25" i="1"/>
  <c r="B25" i="1"/>
  <c r="I24" i="1"/>
  <c r="F24" i="1"/>
  <c r="F26" i="1" s="1"/>
  <c r="E24" i="1"/>
  <c r="E26" i="1" s="1"/>
  <c r="B24" i="1"/>
  <c r="N23" i="1"/>
  <c r="M22" i="1"/>
  <c r="K22" i="1"/>
  <c r="D22" i="1"/>
  <c r="M21" i="1"/>
  <c r="L21" i="1"/>
  <c r="K21" i="1"/>
  <c r="J21" i="1"/>
  <c r="I21" i="1"/>
  <c r="I22" i="1" s="1"/>
  <c r="H21" i="1"/>
  <c r="G21" i="1"/>
  <c r="F21" i="1"/>
  <c r="N21" i="1" s="1"/>
  <c r="E21" i="1"/>
  <c r="C21" i="1"/>
  <c r="B21" i="1"/>
  <c r="M20" i="1"/>
  <c r="L20" i="1"/>
  <c r="L22" i="1" s="1"/>
  <c r="K20" i="1"/>
  <c r="J20" i="1"/>
  <c r="J22" i="1" s="1"/>
  <c r="I20" i="1"/>
  <c r="H20" i="1"/>
  <c r="G20" i="1"/>
  <c r="G22" i="1" s="1"/>
  <c r="F20" i="1"/>
  <c r="E20" i="1"/>
  <c r="E22" i="1" s="1"/>
  <c r="C20" i="1"/>
  <c r="C22" i="1" s="1"/>
  <c r="B20" i="1"/>
  <c r="N20" i="1" s="1"/>
  <c r="N19" i="1"/>
  <c r="J18" i="1"/>
  <c r="H18" i="1"/>
  <c r="M17" i="1"/>
  <c r="L17" i="1"/>
  <c r="K17" i="1"/>
  <c r="J17" i="1"/>
  <c r="I17" i="1"/>
  <c r="H17" i="1"/>
  <c r="G17" i="1"/>
  <c r="G18" i="1" s="1"/>
  <c r="F17" i="1"/>
  <c r="E17" i="1"/>
  <c r="D17" i="1"/>
  <c r="N17" i="1" s="1"/>
  <c r="C17" i="1"/>
  <c r="B17" i="1"/>
  <c r="M16" i="1"/>
  <c r="L16" i="1"/>
  <c r="K16" i="1"/>
  <c r="K18" i="1" s="1"/>
  <c r="J16" i="1"/>
  <c r="I16" i="1"/>
  <c r="I18" i="1" s="1"/>
  <c r="H16" i="1"/>
  <c r="G16" i="1"/>
  <c r="F16" i="1"/>
  <c r="E16" i="1"/>
  <c r="D16" i="1"/>
  <c r="C16" i="1"/>
  <c r="C18" i="1" s="1"/>
  <c r="B16" i="1"/>
  <c r="N16" i="1" s="1"/>
  <c r="N15" i="1"/>
  <c r="K14" i="1"/>
  <c r="K43" i="1" s="1"/>
  <c r="M13" i="1"/>
  <c r="L13" i="1"/>
  <c r="K13" i="1"/>
  <c r="J13" i="1"/>
  <c r="I13" i="1"/>
  <c r="H13" i="1"/>
  <c r="H14" i="1" s="1"/>
  <c r="G13" i="1"/>
  <c r="G14" i="1" s="1"/>
  <c r="F13" i="1"/>
  <c r="E13" i="1"/>
  <c r="D13" i="1"/>
  <c r="N13" i="1" s="1"/>
  <c r="C13" i="1"/>
  <c r="B13" i="1"/>
  <c r="M12" i="1"/>
  <c r="L12" i="1"/>
  <c r="K12" i="1"/>
  <c r="J12" i="1"/>
  <c r="J14" i="1" s="1"/>
  <c r="I12" i="1"/>
  <c r="I14" i="1" s="1"/>
  <c r="H12" i="1"/>
  <c r="G12" i="1"/>
  <c r="F12" i="1"/>
  <c r="E12" i="1"/>
  <c r="D12" i="1"/>
  <c r="C12" i="1"/>
  <c r="C14" i="1" s="1"/>
  <c r="B12" i="1"/>
  <c r="N12" i="1" s="1"/>
  <c r="N11" i="1"/>
  <c r="L10" i="1"/>
  <c r="K10" i="1"/>
  <c r="J10" i="1"/>
  <c r="I10" i="1"/>
  <c r="H10" i="1"/>
  <c r="G10" i="1"/>
  <c r="F10" i="1"/>
  <c r="C10" i="1"/>
  <c r="B10" i="1"/>
  <c r="M9" i="1"/>
  <c r="E9" i="1"/>
  <c r="N9" i="1" s="1"/>
  <c r="D9" i="1"/>
  <c r="C9" i="1"/>
  <c r="B9" i="1"/>
  <c r="M8" i="1"/>
  <c r="M10" i="1" s="1"/>
  <c r="E8" i="1"/>
  <c r="D8" i="1"/>
  <c r="D10" i="1" s="1"/>
  <c r="C8" i="1"/>
  <c r="B8" i="1"/>
  <c r="N7" i="1"/>
  <c r="C43" i="1" l="1"/>
  <c r="C63" i="1" s="1"/>
  <c r="I62" i="1"/>
  <c r="J43" i="1"/>
  <c r="J123" i="1"/>
  <c r="C123" i="1"/>
  <c r="J62" i="1"/>
  <c r="I123" i="1"/>
  <c r="M43" i="1"/>
  <c r="M63" i="1" s="1"/>
  <c r="M124" i="1" s="1"/>
  <c r="M133" i="1" s="1"/>
  <c r="L123" i="1"/>
  <c r="N70" i="1"/>
  <c r="N8" i="1"/>
  <c r="N61" i="1"/>
  <c r="D14" i="1"/>
  <c r="E14" i="1"/>
  <c r="E18" i="1"/>
  <c r="F22" i="1"/>
  <c r="I35" i="1"/>
  <c r="I43" i="1" s="1"/>
  <c r="I63" i="1" s="1"/>
  <c r="I124" i="1" s="1"/>
  <c r="I133" i="1" s="1"/>
  <c r="N35" i="1"/>
  <c r="F62" i="1"/>
  <c r="N52" i="1"/>
  <c r="H84" i="1"/>
  <c r="H123" i="1" s="1"/>
  <c r="N100" i="1"/>
  <c r="N102" i="1"/>
  <c r="D18" i="1"/>
  <c r="D43" i="1" s="1"/>
  <c r="D63" i="1" s="1"/>
  <c r="D124" i="1" s="1"/>
  <c r="D133" i="1" s="1"/>
  <c r="G62" i="1"/>
  <c r="B84" i="1"/>
  <c r="N108" i="1"/>
  <c r="I84" i="1"/>
  <c r="N56" i="1"/>
  <c r="N30" i="1"/>
  <c r="N88" i="1"/>
  <c r="F18" i="1"/>
  <c r="I96" i="1"/>
  <c r="N33" i="1"/>
  <c r="N38" i="1"/>
  <c r="N46" i="1"/>
  <c r="N59" i="1"/>
  <c r="B62" i="1"/>
  <c r="N74" i="1"/>
  <c r="J96" i="1"/>
  <c r="N115" i="1"/>
  <c r="M121" i="1"/>
  <c r="G84" i="1"/>
  <c r="N24" i="1"/>
  <c r="N10" i="1"/>
  <c r="K48" i="1"/>
  <c r="K62" i="1" s="1"/>
  <c r="K63" i="1" s="1"/>
  <c r="K124" i="1" s="1"/>
  <c r="K133" i="1" s="1"/>
  <c r="G43" i="1"/>
  <c r="B14" i="1"/>
  <c r="B18" i="1"/>
  <c r="N34" i="1"/>
  <c r="N39" i="1"/>
  <c r="D76" i="1"/>
  <c r="D123" i="1" s="1"/>
  <c r="K96" i="1"/>
  <c r="K123" i="1" s="1"/>
  <c r="C117" i="1"/>
  <c r="N80" i="1"/>
  <c r="N57" i="1"/>
  <c r="L14" i="1"/>
  <c r="L18" i="1"/>
  <c r="N26" i="1"/>
  <c r="N28" i="1"/>
  <c r="N48" i="1"/>
  <c r="B58" i="1"/>
  <c r="N58" i="1" s="1"/>
  <c r="E68" i="1"/>
  <c r="E123" i="1" s="1"/>
  <c r="N83" i="1"/>
  <c r="D117" i="1"/>
  <c r="M130" i="1"/>
  <c r="M131" i="1" s="1"/>
  <c r="M132" i="1" s="1"/>
  <c r="B131" i="1"/>
  <c r="C96" i="1"/>
  <c r="M52" i="1"/>
  <c r="M62" i="1" s="1"/>
  <c r="M68" i="1"/>
  <c r="M123" i="1" s="1"/>
  <c r="M14" i="1"/>
  <c r="M18" i="1"/>
  <c r="G68" i="1"/>
  <c r="G76" i="1"/>
  <c r="F96" i="1"/>
  <c r="F123" i="1" s="1"/>
  <c r="B22" i="1"/>
  <c r="N111" i="1"/>
  <c r="N36" i="1"/>
  <c r="N50" i="1"/>
  <c r="B72" i="1"/>
  <c r="N72" i="1" s="1"/>
  <c r="F14" i="1"/>
  <c r="F43" i="1" s="1"/>
  <c r="F63" i="1" s="1"/>
  <c r="H22" i="1"/>
  <c r="H43" i="1" s="1"/>
  <c r="H63" i="1" s="1"/>
  <c r="H62" i="1"/>
  <c r="E121" i="1"/>
  <c r="N119" i="1"/>
  <c r="E10" i="1"/>
  <c r="N95" i="1"/>
  <c r="N121" i="1"/>
  <c r="B117" i="1"/>
  <c r="H124" i="1" l="1"/>
  <c r="H133" i="1" s="1"/>
  <c r="N62" i="1"/>
  <c r="N96" i="1"/>
  <c r="N68" i="1"/>
  <c r="J63" i="1"/>
  <c r="J124" i="1" s="1"/>
  <c r="J133" i="1" s="1"/>
  <c r="N18" i="1"/>
  <c r="N14" i="1"/>
  <c r="F124" i="1"/>
  <c r="F133" i="1" s="1"/>
  <c r="N22" i="1"/>
  <c r="L43" i="1"/>
  <c r="L63" i="1" s="1"/>
  <c r="L124" i="1" s="1"/>
  <c r="L133" i="1" s="1"/>
  <c r="E43" i="1"/>
  <c r="E63" i="1" s="1"/>
  <c r="E124" i="1" s="1"/>
  <c r="E133" i="1" s="1"/>
  <c r="B123" i="1"/>
  <c r="N123" i="1" s="1"/>
  <c r="N76" i="1"/>
  <c r="C124" i="1"/>
  <c r="C133" i="1" s="1"/>
  <c r="N131" i="1"/>
  <c r="B132" i="1"/>
  <c r="N132" i="1" s="1"/>
  <c r="N117" i="1"/>
  <c r="N130" i="1"/>
  <c r="B43" i="1"/>
  <c r="G63" i="1"/>
  <c r="G123" i="1"/>
  <c r="N84" i="1"/>
  <c r="G124" i="1" l="1"/>
  <c r="G133" i="1" s="1"/>
  <c r="B63" i="1"/>
  <c r="N43" i="1"/>
  <c r="B124" i="1" l="1"/>
  <c r="N63" i="1"/>
  <c r="B133" i="1" l="1"/>
  <c r="N133" i="1" s="1"/>
  <c r="N124" i="1"/>
</calcChain>
</file>

<file path=xl/sharedStrings.xml><?xml version="1.0" encoding="utf-8"?>
<sst xmlns="http://schemas.openxmlformats.org/spreadsheetml/2006/main" count="145" uniqueCount="145">
  <si>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</si>
  <si>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</si>
  <si>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</si>
  <si>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</si>
  <si>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</si>
  <si>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</si>
  <si>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</si>
  <si>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</si>
  <si>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</si>
  <si>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</si>
  <si>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</si>
  <si>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</si>
  <si>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</si>
  <si>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</si>
  <si>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</si>
  <si>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</si>
  <si>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</si>
  <si>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</si>
  <si>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</si>
  <si>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</si>
  <si>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</si>
  <si>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</si>
  <si>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</si>
  <si>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</si>
  <si>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</si>
  <si>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</si>
  <si>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</si>
  <si>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</si>
  <si>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</si>
  <si>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</si>
  <si>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</si>
  <si>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</si>
  <si>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</si>
  <si>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</si>
  <si>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</si>
  <si>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</si>
  <si>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</si>
  <si>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</si>
  <si>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40700-6 Sewer Line Damage Repair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</si>
  <si>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</si>
  <si>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</si>
  <si>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</si>
  <si>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</si>
  <si>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</si>
  <si>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   46700-5 Legal Srchg Water</t>
  </si>
  <si>
    <t xml:space="preserve">      46700-6 Legal Srchg Sewer</t>
  </si>
  <si>
    <t xml:space="preserve">   Total 46700 Surcharge</t>
  </si>
  <si>
    <t xml:space="preserve">   48000 Miscellaneous Income</t>
  </si>
  <si>
    <t xml:space="preserve">   49900 Uncategorized Income</t>
  </si>
  <si>
    <t xml:space="preserve">   Sales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</si>
  <si>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</si>
  <si>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</si>
  <si>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</si>
  <si>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</si>
  <si>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</si>
  <si>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</si>
  <si>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</si>
  <si>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</si>
  <si>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</si>
  <si>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</si>
  <si>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58000 COS-Sludge Removal</t>
  </si>
  <si>
    <t xml:space="preserve">      58000-5 COS-Sludge Removal - Water</t>
  </si>
  <si>
    <t xml:space="preserve">   Total 58000 COS-Sludge Removal</t>
  </si>
  <si>
    <t xml:space="preserve">   58500 LCRA - Raw Water Fee</t>
  </si>
  <si>
    <t xml:space="preserve">      58550-5 Raw Water Fee-water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</si>
  <si>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</si>
  <si>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</si>
  <si>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</si>
  <si>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Total 59000 COS-Lab Fees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</si>
  <si>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</si>
  <si>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</si>
  <si>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</si>
  <si>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</si>
  <si>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</si>
  <si>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</si>
  <si>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</si>
  <si>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</si>
  <si>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</si>
  <si>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</si>
  <si>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</si>
  <si>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</si>
  <si>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</si>
  <si>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</si>
  <si>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</si>
  <si>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</si>
  <si>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</si>
  <si>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</si>
  <si>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</si>
  <si>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</si>
  <si>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</si>
  <si>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</si>
  <si>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</si>
  <si>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64000 TCEQ System Fee</t>
  </si>
  <si>
    <t xml:space="preserve">      64000-5 TCEQ System Fee - Water</t>
  </si>
  <si>
    <t xml:space="preserve">      64000-6 TCEQ System Fee - Sewer</t>
  </si>
  <si>
    <t xml:space="preserve">   Total 64000 TCEQ System Fee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</si>
  <si>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</si>
  <si>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</si>
  <si>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</si>
  <si>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</si>
  <si>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</si>
  <si>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</si>
  <si>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</si>
  <si>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</si>
  <si>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67000 Postage &amp; Shipping Expense</t>
  </si>
  <si>
    <t xml:space="preserve">      67000-5 Postage &amp; Shipping - Water</t>
  </si>
  <si>
    <t xml:space="preserve">      67000-6 Postage &amp; Shipping - Sewer</t>
  </si>
  <si>
    <t xml:space="preserve">   Total 67000 Postage &amp; Shipping Expense</t>
  </si>
  <si>
    <t xml:space="preserve">   68500 Repairs &amp; Maintenance</t>
  </si>
  <si>
    <t xml:space="preserve">      68500-5 Repairs &amp; Maintenance - Water</t>
  </si>
  <si>
    <t xml:space="preserve">      68500-6 Repairs &amp; Maintenance - Sewer</t>
  </si>
  <si>
    <t xml:space="preserve">   Total 68500 Repairs &amp; Maintenance</t>
  </si>
  <si>
    <t xml:space="preserve">   68600 Repair Parts</t>
  </si>
  <si>
    <t xml:space="preserve">      68600-5 Repair Parts - Water</t>
  </si>
  <si>
    <t xml:space="preserve">      68600-6 Repair Parts - Sewer</t>
  </si>
  <si>
    <t xml:space="preserve">   Total 68600 Repair Parts</t>
  </si>
  <si>
    <t xml:space="preserve">   69000 Printing Expense</t>
  </si>
  <si>
    <t xml:space="preserve">      69000-5 Printing Expense - Water</t>
  </si>
  <si>
    <t xml:space="preserve">      69000-6 Printing Expense - Sewer</t>
  </si>
  <si>
    <t xml:space="preserve">   Total 69000 Printing Expense</t>
  </si>
  <si>
    <t xml:space="preserve">   69500 Publications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</si>
  <si>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</si>
  <si>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</si>
  <si>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</si>
  <si>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</si>
  <si>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</si>
  <si>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</si>
  <si>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</si>
  <si>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</si>
  <si>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 xml:space="preserve">   89000 Other Expense</t>
  </si>
  <si>
    <t>Total Expenses</t>
  </si>
  <si>
    <t>Net Operating Income</t>
  </si>
  <si>
    <t>Other Income</t>
  </si>
  <si>
    <t xml:space="preserve">   41000 Interest Income</t>
  </si>
  <si>
    <t xml:space="preserve">   46900 Temp General Manager</t>
  </si>
  <si>
    <t xml:space="preserve">      46900-5 Temp General Mgr Water</t>
  </si>
  <si>
    <t xml:space="preserve">      46900-6 Temp General Manager Sewer</t>
  </si>
  <si>
    <t xml:space="preserve">   Total 46900 Temp General Manager</t>
  </si>
  <si>
    <t>Total Other Income</t>
  </si>
  <si>
    <t>Net Other Income</t>
  </si>
  <si>
    <t>Net Income</t>
  </si>
  <si>
    <t>Wednesday, Jan 08, 2025 01:43:03 PM GMT-8 - Accrual Basis</t>
  </si>
  <si>
    <t>Windermere Oaks Water Supply Corp</t>
  </si>
  <si>
    <t>Profit and Loss</t>
  </si>
  <si>
    <t>January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</si>
</sst>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abSelected="1" topLeftCell="A120" workbookViewId="0">
      <selection activeCell="L128" sqref="L128"/>
    </sheetView>
  </sheetViews>
  <sheetFormatPr defaultRowHeight="15" x14ac:dyDescent="0.25"/>
  <cols>
    <col min="1" max="1" width="37.85546875" customWidth="1"/>
    <col min="2" max="2" width="10.28515625" customWidth="1"/>
    <col min="3" max="3" width="11.140625" customWidth="1"/>
    <col min="4" max="5" width="9.42578125" customWidth="1"/>
    <col min="6" max="6" width="10.28515625" customWidth="1"/>
    <col min="7" max="9" width="11.140625" customWidth="1"/>
    <col min="10" max="10" width="9.42578125" customWidth="1"/>
    <col min="11" max="12" width="11.140625" customWidth="1"/>
    <col min="13" max="13" width="10.28515625" customWidth="1"/>
    <col min="14" max="14" width="12" customWidth="1"/>
  </cols>
  <sheetData>
    <row r="1" spans="1:14" ht="18" x14ac:dyDescent="0.25">
      <c r="A1" s="1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25">
      <c r="A2" s="1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/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4" x14ac:dyDescent="0.25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7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43" si="0">(((((((((((B7)+(C7))+(D7))+(E7))+(F7))+(G7))+(H7))+(I7))+(J7))+(K7))+(L7))+(M7)</f>
        <v>0</v>
      </c>
    </row>
    <row r="8" spans="1:14" x14ac:dyDescent="0.25">
      <c r="A8" s="7" t="s">
        <v>15</v>
      </c>
      <c r="B8" s="9">
        <f>15943.19</f>
        <v>15943.19</v>
      </c>
      <c r="C8" s="9">
        <f>154.2</f>
        <v>154.19999999999999</v>
      </c>
      <c r="D8" s="9">
        <f>372.6</f>
        <v>372.6</v>
      </c>
      <c r="E8" s="9">
        <f>124.2</f>
        <v>124.2</v>
      </c>
      <c r="F8" s="8"/>
      <c r="G8" s="8"/>
      <c r="H8" s="8"/>
      <c r="I8" s="8"/>
      <c r="J8" s="8"/>
      <c r="K8" s="8"/>
      <c r="L8" s="8"/>
      <c r="M8" s="9">
        <f>1117.8</f>
        <v>1117.8</v>
      </c>
      <c r="N8" s="9">
        <f t="shared" si="0"/>
        <v>17711.990000000002</v>
      </c>
    </row>
    <row r="9" spans="1:14" x14ac:dyDescent="0.25">
      <c r="A9" s="7" t="s">
        <v>16</v>
      </c>
      <c r="B9" s="9">
        <f>9733.19</f>
        <v>9733.19</v>
      </c>
      <c r="C9" s="9">
        <f>154.2</f>
        <v>154.19999999999999</v>
      </c>
      <c r="D9" s="9">
        <f>372.6</f>
        <v>372.6</v>
      </c>
      <c r="E9" s="9">
        <f>124.2</f>
        <v>124.2</v>
      </c>
      <c r="F9" s="8"/>
      <c r="G9" s="8"/>
      <c r="H9" s="8"/>
      <c r="I9" s="8"/>
      <c r="J9" s="8"/>
      <c r="K9" s="8"/>
      <c r="L9" s="8"/>
      <c r="M9" s="9">
        <f>1117.8</f>
        <v>1117.8</v>
      </c>
      <c r="N9" s="9">
        <f t="shared" si="0"/>
        <v>11501.990000000002</v>
      </c>
    </row>
    <row r="10" spans="1:14" x14ac:dyDescent="0.25">
      <c r="A10" s="7" t="s">
        <v>17</v>
      </c>
      <c r="B10" s="10">
        <f t="shared" ref="B10:M10" si="1">((B7)+(B8))+(B9)</f>
        <v>25676.38</v>
      </c>
      <c r="C10" s="10">
        <f t="shared" si="1"/>
        <v>308.39999999999998</v>
      </c>
      <c r="D10" s="10">
        <f t="shared" si="1"/>
        <v>745.2</v>
      </c>
      <c r="E10" s="10">
        <f t="shared" si="1"/>
        <v>248.4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0">
        <f t="shared" si="1"/>
        <v>2235.6</v>
      </c>
      <c r="N10" s="10">
        <f t="shared" si="0"/>
        <v>29213.980000000003</v>
      </c>
    </row>
    <row r="11" spans="1:14" x14ac:dyDescent="0.25">
      <c r="A11" s="7" t="s">
        <v>18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x14ac:dyDescent="0.25">
      <c r="A12" s="7" t="s">
        <v>19</v>
      </c>
      <c r="B12" s="9">
        <f>31624.19</f>
        <v>31624.19</v>
      </c>
      <c r="C12" s="9">
        <f>29144.15</f>
        <v>29144.15</v>
      </c>
      <c r="D12" s="9">
        <f>30414.69</f>
        <v>30414.69</v>
      </c>
      <c r="E12" s="9">
        <f>22730.37</f>
        <v>22730.37</v>
      </c>
      <c r="F12" s="9">
        <f>15136.89</f>
        <v>15136.89</v>
      </c>
      <c r="G12" s="9">
        <f>15882.45</f>
        <v>15882.45</v>
      </c>
      <c r="H12" s="9">
        <f>18871.74</f>
        <v>18871.740000000002</v>
      </c>
      <c r="I12" s="9">
        <f>18289.65</f>
        <v>18289.650000000001</v>
      </c>
      <c r="J12" s="9">
        <f>17547.69</f>
        <v>17547.689999999999</v>
      </c>
      <c r="K12" s="9">
        <f>21386.67</f>
        <v>21386.67</v>
      </c>
      <c r="L12" s="9">
        <f>17210.08</f>
        <v>17210.080000000002</v>
      </c>
      <c r="M12" s="9">
        <f>17774.79</f>
        <v>17774.79</v>
      </c>
      <c r="N12" s="9">
        <f t="shared" si="0"/>
        <v>256013.36000000002</v>
      </c>
    </row>
    <row r="13" spans="1:14" x14ac:dyDescent="0.25">
      <c r="A13" s="7" t="s">
        <v>20</v>
      </c>
      <c r="B13" s="9">
        <f>21464.41</f>
        <v>21464.41</v>
      </c>
      <c r="C13" s="9">
        <f>19395.12</f>
        <v>19395.12</v>
      </c>
      <c r="D13" s="9">
        <f>20836.11</f>
        <v>20836.11</v>
      </c>
      <c r="E13" s="9">
        <f>14895.77</f>
        <v>14895.77</v>
      </c>
      <c r="F13" s="9">
        <f>12132.9</f>
        <v>12132.9</v>
      </c>
      <c r="G13" s="9">
        <f>12189.55</f>
        <v>12189.55</v>
      </c>
      <c r="H13" s="9">
        <f>13353.75</f>
        <v>13353.75</v>
      </c>
      <c r="I13" s="9">
        <f>13364.97</f>
        <v>13364.97</v>
      </c>
      <c r="J13" s="9">
        <f>13124.91</f>
        <v>13124.91</v>
      </c>
      <c r="K13" s="9">
        <f>14744.23</f>
        <v>14744.23</v>
      </c>
      <c r="L13" s="9">
        <f>12227.35</f>
        <v>12227.35</v>
      </c>
      <c r="M13" s="9">
        <f>12663.94</f>
        <v>12663.94</v>
      </c>
      <c r="N13" s="9">
        <f t="shared" si="0"/>
        <v>180393.01</v>
      </c>
    </row>
    <row r="14" spans="1:14" x14ac:dyDescent="0.25">
      <c r="A14" s="7" t="s">
        <v>21</v>
      </c>
      <c r="B14" s="10">
        <f t="shared" ref="B14:M14" si="2">((B11)+(B12))+(B13)</f>
        <v>53088.6</v>
      </c>
      <c r="C14" s="10">
        <f t="shared" si="2"/>
        <v>48539.270000000004</v>
      </c>
      <c r="D14" s="10">
        <f t="shared" si="2"/>
        <v>51250.8</v>
      </c>
      <c r="E14" s="10">
        <f t="shared" si="2"/>
        <v>37626.14</v>
      </c>
      <c r="F14" s="10">
        <f t="shared" si="2"/>
        <v>27269.79</v>
      </c>
      <c r="G14" s="10">
        <f t="shared" si="2"/>
        <v>28072</v>
      </c>
      <c r="H14" s="10">
        <f t="shared" si="2"/>
        <v>32225.49</v>
      </c>
      <c r="I14" s="10">
        <f t="shared" si="2"/>
        <v>31654.620000000003</v>
      </c>
      <c r="J14" s="10">
        <f t="shared" si="2"/>
        <v>30672.6</v>
      </c>
      <c r="K14" s="10">
        <f t="shared" si="2"/>
        <v>36130.899999999994</v>
      </c>
      <c r="L14" s="10">
        <f t="shared" si="2"/>
        <v>29437.43</v>
      </c>
      <c r="M14" s="10">
        <f t="shared" si="2"/>
        <v>30438.730000000003</v>
      </c>
      <c r="N14" s="10">
        <f t="shared" si="0"/>
        <v>436406.36999999994</v>
      </c>
    </row>
    <row r="15" spans="1:14" x14ac:dyDescent="0.25">
      <c r="A15" s="7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>
        <f t="shared" si="0"/>
        <v>0</v>
      </c>
    </row>
    <row r="16" spans="1:14" x14ac:dyDescent="0.25">
      <c r="A16" s="7" t="s">
        <v>23</v>
      </c>
      <c r="B16" s="9">
        <f>353.55</f>
        <v>353.55</v>
      </c>
      <c r="C16" s="9">
        <f>338.82</f>
        <v>338.82</v>
      </c>
      <c r="D16" s="9">
        <f>580.1</f>
        <v>580.1</v>
      </c>
      <c r="E16" s="9">
        <f>481.73</f>
        <v>481.73</v>
      </c>
      <c r="F16" s="9">
        <f>350.26</f>
        <v>350.26</v>
      </c>
      <c r="G16" s="9">
        <f>114.61</f>
        <v>114.61</v>
      </c>
      <c r="H16" s="9">
        <f>235.72</f>
        <v>235.72</v>
      </c>
      <c r="I16" s="9">
        <f>127.38</f>
        <v>127.38</v>
      </c>
      <c r="J16" s="9">
        <f>138.64</f>
        <v>138.63999999999999</v>
      </c>
      <c r="K16" s="9">
        <f>393.69</f>
        <v>393.69</v>
      </c>
      <c r="L16" s="9">
        <f>104.7</f>
        <v>104.7</v>
      </c>
      <c r="M16" s="9">
        <f>266.96</f>
        <v>266.95999999999998</v>
      </c>
      <c r="N16" s="9">
        <f t="shared" si="0"/>
        <v>3486.16</v>
      </c>
    </row>
    <row r="17" spans="1:14" x14ac:dyDescent="0.25">
      <c r="A17" s="7" t="s">
        <v>24</v>
      </c>
      <c r="B17" s="9">
        <f>240.42</f>
        <v>240.42</v>
      </c>
      <c r="C17" s="9">
        <f>214.63</f>
        <v>214.63</v>
      </c>
      <c r="D17" s="9">
        <f>379.4</f>
        <v>379.4</v>
      </c>
      <c r="E17" s="9">
        <f>275.51</f>
        <v>275.51</v>
      </c>
      <c r="F17" s="9">
        <f>281.83</f>
        <v>281.83</v>
      </c>
      <c r="G17" s="9">
        <f>141.96</f>
        <v>141.96</v>
      </c>
      <c r="H17" s="9">
        <f>363.34</f>
        <v>363.34</v>
      </c>
      <c r="I17" s="9">
        <f>99.99</f>
        <v>99.99</v>
      </c>
      <c r="J17" s="9">
        <f>102.34</f>
        <v>102.34</v>
      </c>
      <c r="K17" s="9">
        <f>276.94</f>
        <v>276.94</v>
      </c>
      <c r="L17" s="9">
        <f>78.8</f>
        <v>78.8</v>
      </c>
      <c r="M17" s="9">
        <f>192.2</f>
        <v>192.2</v>
      </c>
      <c r="N17" s="9">
        <f t="shared" si="0"/>
        <v>2647.36</v>
      </c>
    </row>
    <row r="18" spans="1:14" x14ac:dyDescent="0.25">
      <c r="A18" s="7" t="s">
        <v>25</v>
      </c>
      <c r="B18" s="10">
        <f t="shared" ref="B18:M18" si="3">((B15)+(B16))+(B17)</f>
        <v>593.97</v>
      </c>
      <c r="C18" s="10">
        <f t="shared" si="3"/>
        <v>553.45000000000005</v>
      </c>
      <c r="D18" s="10">
        <f t="shared" si="3"/>
        <v>959.5</v>
      </c>
      <c r="E18" s="10">
        <f t="shared" si="3"/>
        <v>757.24</v>
      </c>
      <c r="F18" s="10">
        <f t="shared" si="3"/>
        <v>632.08999999999992</v>
      </c>
      <c r="G18" s="10">
        <f t="shared" si="3"/>
        <v>256.57</v>
      </c>
      <c r="H18" s="10">
        <f t="shared" si="3"/>
        <v>599.05999999999995</v>
      </c>
      <c r="I18" s="10">
        <f t="shared" si="3"/>
        <v>227.37</v>
      </c>
      <c r="J18" s="10">
        <f t="shared" si="3"/>
        <v>240.98</v>
      </c>
      <c r="K18" s="10">
        <f t="shared" si="3"/>
        <v>670.63</v>
      </c>
      <c r="L18" s="10">
        <f t="shared" si="3"/>
        <v>183.5</v>
      </c>
      <c r="M18" s="10">
        <f t="shared" si="3"/>
        <v>459.15999999999997</v>
      </c>
      <c r="N18" s="10">
        <f t="shared" si="0"/>
        <v>6133.5199999999995</v>
      </c>
    </row>
    <row r="19" spans="1:14" x14ac:dyDescent="0.25">
      <c r="A19" s="7" t="s">
        <v>26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x14ac:dyDescent="0.25">
      <c r="A20" s="7" t="s">
        <v>27</v>
      </c>
      <c r="B20" s="9">
        <f>201.25</f>
        <v>201.25</v>
      </c>
      <c r="C20" s="9">
        <f>201.25</f>
        <v>201.25</v>
      </c>
      <c r="D20" s="8"/>
      <c r="E20" s="9">
        <f>402.5</f>
        <v>402.5</v>
      </c>
      <c r="F20" s="9">
        <f>201.25</f>
        <v>201.25</v>
      </c>
      <c r="G20" s="9">
        <f>402.5</f>
        <v>402.5</v>
      </c>
      <c r="H20" s="9">
        <f>-148.75</f>
        <v>-148.75</v>
      </c>
      <c r="I20" s="9">
        <f>-350</f>
        <v>-350</v>
      </c>
      <c r="J20" s="9">
        <f>26.25</f>
        <v>26.25</v>
      </c>
      <c r="K20" s="9">
        <f>26.25</f>
        <v>26.25</v>
      </c>
      <c r="L20" s="9">
        <f>-175</f>
        <v>-175</v>
      </c>
      <c r="M20" s="9">
        <f>201.25</f>
        <v>201.25</v>
      </c>
      <c r="N20" s="9">
        <f t="shared" si="0"/>
        <v>988.75</v>
      </c>
    </row>
    <row r="21" spans="1:14" x14ac:dyDescent="0.25">
      <c r="A21" s="7" t="s">
        <v>28</v>
      </c>
      <c r="B21" s="9">
        <f>201.25</f>
        <v>201.25</v>
      </c>
      <c r="C21" s="9">
        <f>201.25</f>
        <v>201.25</v>
      </c>
      <c r="D21" s="8"/>
      <c r="E21" s="9">
        <f>402.5</f>
        <v>402.5</v>
      </c>
      <c r="F21" s="9">
        <f>201.25</f>
        <v>201.25</v>
      </c>
      <c r="G21" s="9">
        <f>402.5</f>
        <v>402.5</v>
      </c>
      <c r="H21" s="9">
        <f>-148.75</f>
        <v>-148.75</v>
      </c>
      <c r="I21" s="9">
        <f>-350</f>
        <v>-350</v>
      </c>
      <c r="J21" s="9">
        <f>26.25</f>
        <v>26.25</v>
      </c>
      <c r="K21" s="9">
        <f>26.25</f>
        <v>26.25</v>
      </c>
      <c r="L21" s="9">
        <f>-175</f>
        <v>-175</v>
      </c>
      <c r="M21" s="9">
        <f>201.25</f>
        <v>201.25</v>
      </c>
      <c r="N21" s="9">
        <f t="shared" si="0"/>
        <v>988.75</v>
      </c>
    </row>
    <row r="22" spans="1:14" x14ac:dyDescent="0.25">
      <c r="A22" s="7" t="s">
        <v>29</v>
      </c>
      <c r="B22" s="10">
        <f t="shared" ref="B22:M22" si="4">((B19)+(B20))+(B21)</f>
        <v>402.5</v>
      </c>
      <c r="C22" s="10">
        <f t="shared" si="4"/>
        <v>402.5</v>
      </c>
      <c r="D22" s="10">
        <f t="shared" si="4"/>
        <v>0</v>
      </c>
      <c r="E22" s="10">
        <f t="shared" si="4"/>
        <v>805</v>
      </c>
      <c r="F22" s="10">
        <f t="shared" si="4"/>
        <v>402.5</v>
      </c>
      <c r="G22" s="10">
        <f t="shared" si="4"/>
        <v>805</v>
      </c>
      <c r="H22" s="10">
        <f t="shared" si="4"/>
        <v>-297.5</v>
      </c>
      <c r="I22" s="10">
        <f t="shared" si="4"/>
        <v>-700</v>
      </c>
      <c r="J22" s="10">
        <f t="shared" si="4"/>
        <v>52.5</v>
      </c>
      <c r="K22" s="10">
        <f t="shared" si="4"/>
        <v>52.5</v>
      </c>
      <c r="L22" s="10">
        <f t="shared" si="4"/>
        <v>-350</v>
      </c>
      <c r="M22" s="10">
        <f t="shared" si="4"/>
        <v>402.5</v>
      </c>
      <c r="N22" s="10">
        <f t="shared" si="0"/>
        <v>1977.5</v>
      </c>
    </row>
    <row r="23" spans="1:14" x14ac:dyDescent="0.25">
      <c r="A23" s="7" t="s">
        <v>30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x14ac:dyDescent="0.25">
      <c r="A24" s="7" t="s">
        <v>31</v>
      </c>
      <c r="B24" s="9">
        <f>2300</f>
        <v>2300</v>
      </c>
      <c r="C24" s="8"/>
      <c r="D24" s="8"/>
      <c r="E24" s="9">
        <f>2300</f>
        <v>2300</v>
      </c>
      <c r="F24" s="9">
        <f>2300</f>
        <v>2300</v>
      </c>
      <c r="G24" s="8"/>
      <c r="H24" s="8"/>
      <c r="I24" s="9">
        <f>2300</f>
        <v>2300</v>
      </c>
      <c r="J24" s="8"/>
      <c r="K24" s="8"/>
      <c r="L24" s="8"/>
      <c r="M24" s="8"/>
      <c r="N24" s="9">
        <f t="shared" si="0"/>
        <v>9200</v>
      </c>
    </row>
    <row r="25" spans="1:14" x14ac:dyDescent="0.25">
      <c r="A25" s="7" t="s">
        <v>32</v>
      </c>
      <c r="B25" s="9">
        <f>2300</f>
        <v>2300</v>
      </c>
      <c r="C25" s="8"/>
      <c r="D25" s="8"/>
      <c r="E25" s="9">
        <f>2300</f>
        <v>2300</v>
      </c>
      <c r="F25" s="9">
        <f>2300</f>
        <v>2300</v>
      </c>
      <c r="G25" s="8"/>
      <c r="H25" s="8"/>
      <c r="I25" s="9">
        <f>2300</f>
        <v>2300</v>
      </c>
      <c r="J25" s="8"/>
      <c r="K25" s="8"/>
      <c r="L25" s="8"/>
      <c r="M25" s="8"/>
      <c r="N25" s="9">
        <f t="shared" si="0"/>
        <v>9200</v>
      </c>
    </row>
    <row r="26" spans="1:14" x14ac:dyDescent="0.25">
      <c r="A26" s="7" t="s">
        <v>33</v>
      </c>
      <c r="B26" s="10">
        <f t="shared" ref="B26:M26" si="5">((B23)+(B24))+(B25)</f>
        <v>4600</v>
      </c>
      <c r="C26" s="10">
        <f t="shared" si="5"/>
        <v>0</v>
      </c>
      <c r="D26" s="10">
        <f t="shared" si="5"/>
        <v>0</v>
      </c>
      <c r="E26" s="10">
        <f t="shared" si="5"/>
        <v>4600</v>
      </c>
      <c r="F26" s="10">
        <f t="shared" si="5"/>
        <v>4600</v>
      </c>
      <c r="G26" s="10">
        <f t="shared" si="5"/>
        <v>0</v>
      </c>
      <c r="H26" s="10">
        <f t="shared" si="5"/>
        <v>0</v>
      </c>
      <c r="I26" s="10">
        <f t="shared" si="5"/>
        <v>4600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0"/>
        <v>18400</v>
      </c>
    </row>
    <row r="27" spans="1:14" x14ac:dyDescent="0.25">
      <c r="A27" s="7" t="s">
        <v>34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x14ac:dyDescent="0.25">
      <c r="A28" s="7" t="s">
        <v>35</v>
      </c>
      <c r="B28" s="9">
        <f>862.5</f>
        <v>862.5</v>
      </c>
      <c r="C28" s="8"/>
      <c r="D28" s="8"/>
      <c r="E28" s="9">
        <f>862.5</f>
        <v>862.5</v>
      </c>
      <c r="F28" s="9">
        <f>862.5</f>
        <v>862.5</v>
      </c>
      <c r="G28" s="8"/>
      <c r="H28" s="8"/>
      <c r="I28" s="9">
        <f>862.5</f>
        <v>862.5</v>
      </c>
      <c r="J28" s="8"/>
      <c r="K28" s="8"/>
      <c r="L28" s="8"/>
      <c r="M28" s="8"/>
      <c r="N28" s="9">
        <f t="shared" si="0"/>
        <v>3450</v>
      </c>
    </row>
    <row r="29" spans="1:14" x14ac:dyDescent="0.25">
      <c r="A29" s="7" t="s">
        <v>36</v>
      </c>
      <c r="B29" s="9">
        <f>862.5</f>
        <v>862.5</v>
      </c>
      <c r="C29" s="8"/>
      <c r="D29" s="8"/>
      <c r="E29" s="9">
        <f>862.5</f>
        <v>862.5</v>
      </c>
      <c r="F29" s="9">
        <f>862.5</f>
        <v>862.5</v>
      </c>
      <c r="G29" s="8"/>
      <c r="H29" s="9">
        <f>1725</f>
        <v>1725</v>
      </c>
      <c r="I29" s="9">
        <f>862.5</f>
        <v>862.5</v>
      </c>
      <c r="J29" s="8"/>
      <c r="K29" s="8"/>
      <c r="L29" s="8"/>
      <c r="M29" s="8"/>
      <c r="N29" s="9">
        <f t="shared" si="0"/>
        <v>5175</v>
      </c>
    </row>
    <row r="30" spans="1:14" x14ac:dyDescent="0.25">
      <c r="A30" s="7" t="s">
        <v>37</v>
      </c>
      <c r="B30" s="10">
        <f t="shared" ref="B30:M30" si="6">((B27)+(B28))+(B29)</f>
        <v>1725</v>
      </c>
      <c r="C30" s="10">
        <f t="shared" si="6"/>
        <v>0</v>
      </c>
      <c r="D30" s="10">
        <f t="shared" si="6"/>
        <v>0</v>
      </c>
      <c r="E30" s="10">
        <f t="shared" si="6"/>
        <v>1725</v>
      </c>
      <c r="F30" s="10">
        <f t="shared" si="6"/>
        <v>1725</v>
      </c>
      <c r="G30" s="10">
        <f t="shared" si="6"/>
        <v>0</v>
      </c>
      <c r="H30" s="10">
        <f t="shared" si="6"/>
        <v>1725</v>
      </c>
      <c r="I30" s="10">
        <f t="shared" si="6"/>
        <v>1725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0"/>
        <v>8625</v>
      </c>
    </row>
    <row r="31" spans="1:14" x14ac:dyDescent="0.25">
      <c r="A31" s="7" t="s">
        <v>38</v>
      </c>
      <c r="B31" s="8"/>
      <c r="C31" s="9">
        <f>800</f>
        <v>800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800</v>
      </c>
    </row>
    <row r="32" spans="1:14" x14ac:dyDescent="0.25">
      <c r="A32" s="7" t="s">
        <v>39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>
        <f t="shared" si="0"/>
        <v>0</v>
      </c>
    </row>
    <row r="33" spans="1:14" x14ac:dyDescent="0.25">
      <c r="A33" s="7" t="s">
        <v>40</v>
      </c>
      <c r="B33" s="8"/>
      <c r="C33" s="8"/>
      <c r="D33" s="9">
        <f>-1046.16</f>
        <v>-1046.1600000000001</v>
      </c>
      <c r="E33" s="9">
        <f>-11828.65</f>
        <v>-11828.65</v>
      </c>
      <c r="F33" s="9">
        <f>-10897.5</f>
        <v>-10897.5</v>
      </c>
      <c r="G33" s="9">
        <f>-11844.61</f>
        <v>-11844.61</v>
      </c>
      <c r="H33" s="9">
        <f>-11615</f>
        <v>-11615</v>
      </c>
      <c r="I33" s="9">
        <f>-11461.01</f>
        <v>-11461.01</v>
      </c>
      <c r="J33" s="9">
        <f>-11407.76</f>
        <v>-11407.76</v>
      </c>
      <c r="K33" s="9">
        <f>-12298.97</f>
        <v>-12298.97</v>
      </c>
      <c r="L33" s="9">
        <f>-10070.91</f>
        <v>-10070.91</v>
      </c>
      <c r="M33" s="9">
        <f>-11690.71</f>
        <v>-11690.71</v>
      </c>
      <c r="N33" s="9">
        <f t="shared" si="0"/>
        <v>-104161.28</v>
      </c>
    </row>
    <row r="34" spans="1:14" x14ac:dyDescent="0.25">
      <c r="A34" s="7" t="s">
        <v>41</v>
      </c>
      <c r="B34" s="8"/>
      <c r="C34" s="8"/>
      <c r="D34" s="9">
        <f>-768.72</f>
        <v>-768.72</v>
      </c>
      <c r="E34" s="9">
        <f>-8093.37</f>
        <v>-8093.37</v>
      </c>
      <c r="F34" s="9">
        <f>-7634.7</f>
        <v>-7634.7</v>
      </c>
      <c r="G34" s="9">
        <f>-8078.49</f>
        <v>-8078.49</v>
      </c>
      <c r="H34" s="9">
        <f>-8220.54</f>
        <v>-8220.5400000000009</v>
      </c>
      <c r="I34" s="9">
        <f>-7760.38</f>
        <v>-7760.38</v>
      </c>
      <c r="J34" s="9">
        <f>-7918.15</f>
        <v>-7918.15</v>
      </c>
      <c r="K34" s="9">
        <f>-8150.68</f>
        <v>-8150.68</v>
      </c>
      <c r="L34" s="9">
        <f>-6897.81</f>
        <v>-6897.81</v>
      </c>
      <c r="M34" s="9">
        <f>-7623.14</f>
        <v>-7623.14</v>
      </c>
      <c r="N34" s="9">
        <f t="shared" si="0"/>
        <v>-71145.98</v>
      </c>
    </row>
    <row r="35" spans="1:14" x14ac:dyDescent="0.25">
      <c r="A35" s="7" t="s">
        <v>42</v>
      </c>
      <c r="B35" s="10">
        <f t="shared" ref="B35:M35" si="7">((B32)+(B33))+(B34)</f>
        <v>0</v>
      </c>
      <c r="C35" s="10">
        <f t="shared" si="7"/>
        <v>0</v>
      </c>
      <c r="D35" s="10">
        <f t="shared" si="7"/>
        <v>-1814.88</v>
      </c>
      <c r="E35" s="10">
        <f t="shared" si="7"/>
        <v>-19922.02</v>
      </c>
      <c r="F35" s="10">
        <f t="shared" si="7"/>
        <v>-18532.2</v>
      </c>
      <c r="G35" s="10">
        <f t="shared" si="7"/>
        <v>-19923.099999999999</v>
      </c>
      <c r="H35" s="10">
        <f t="shared" si="7"/>
        <v>-19835.54</v>
      </c>
      <c r="I35" s="10">
        <f t="shared" si="7"/>
        <v>-19221.39</v>
      </c>
      <c r="J35" s="10">
        <f t="shared" si="7"/>
        <v>-19325.91</v>
      </c>
      <c r="K35" s="10">
        <f t="shared" si="7"/>
        <v>-20449.650000000001</v>
      </c>
      <c r="L35" s="10">
        <f t="shared" si="7"/>
        <v>-16968.72</v>
      </c>
      <c r="M35" s="10">
        <f t="shared" si="7"/>
        <v>-19313.849999999999</v>
      </c>
      <c r="N35" s="10">
        <f t="shared" si="0"/>
        <v>-175307.26</v>
      </c>
    </row>
    <row r="36" spans="1:14" x14ac:dyDescent="0.25">
      <c r="A36" s="7" t="s">
        <v>43</v>
      </c>
      <c r="B36" s="8"/>
      <c r="C36" s="8"/>
      <c r="D36" s="9">
        <f>941.45</f>
        <v>941.45</v>
      </c>
      <c r="E36" s="9">
        <f>10912.93</f>
        <v>10912.93</v>
      </c>
      <c r="F36" s="9">
        <f>9959.34</f>
        <v>9959.34</v>
      </c>
      <c r="G36" s="9">
        <f>11124.96</f>
        <v>11124.96</v>
      </c>
      <c r="H36" s="9">
        <f>10642.26</f>
        <v>10642.26</v>
      </c>
      <c r="I36" s="9">
        <f>10387.68</f>
        <v>10387.68</v>
      </c>
      <c r="J36" s="9">
        <f>10423.93</f>
        <v>10423.93</v>
      </c>
      <c r="K36" s="9">
        <f>11296.78</f>
        <v>11296.78</v>
      </c>
      <c r="L36" s="9">
        <f>9378.11</f>
        <v>9378.11</v>
      </c>
      <c r="M36" s="8"/>
      <c r="N36" s="9">
        <f t="shared" si="0"/>
        <v>85067.44</v>
      </c>
    </row>
    <row r="37" spans="1:14" x14ac:dyDescent="0.25">
      <c r="A37" s="7" t="s">
        <v>44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>
        <f>10786.5</f>
        <v>10786.5</v>
      </c>
      <c r="N37" s="9">
        <f t="shared" si="0"/>
        <v>10786.5</v>
      </c>
    </row>
    <row r="38" spans="1:14" x14ac:dyDescent="0.25">
      <c r="A38" s="7" t="s">
        <v>45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>
        <f>7498</f>
        <v>7498</v>
      </c>
      <c r="N38" s="9">
        <f t="shared" si="0"/>
        <v>7498</v>
      </c>
    </row>
    <row r="39" spans="1:14" x14ac:dyDescent="0.25">
      <c r="A39" s="7" t="s">
        <v>46</v>
      </c>
      <c r="B39" s="10">
        <f t="shared" ref="B39:M39" si="8">((B36)+(B37))+(B38)</f>
        <v>0</v>
      </c>
      <c r="C39" s="10">
        <f t="shared" si="8"/>
        <v>0</v>
      </c>
      <c r="D39" s="10">
        <f t="shared" si="8"/>
        <v>941.45</v>
      </c>
      <c r="E39" s="10">
        <f t="shared" si="8"/>
        <v>10912.93</v>
      </c>
      <c r="F39" s="10">
        <f t="shared" si="8"/>
        <v>9959.34</v>
      </c>
      <c r="G39" s="10">
        <f t="shared" si="8"/>
        <v>11124.96</v>
      </c>
      <c r="H39" s="10">
        <f t="shared" si="8"/>
        <v>10642.26</v>
      </c>
      <c r="I39" s="10">
        <f t="shared" si="8"/>
        <v>10387.68</v>
      </c>
      <c r="J39" s="10">
        <f t="shared" si="8"/>
        <v>10423.93</v>
      </c>
      <c r="K39" s="10">
        <f t="shared" si="8"/>
        <v>11296.78</v>
      </c>
      <c r="L39" s="10">
        <f t="shared" si="8"/>
        <v>9378.11</v>
      </c>
      <c r="M39" s="10">
        <f t="shared" si="8"/>
        <v>18284.5</v>
      </c>
      <c r="N39" s="10">
        <f t="shared" si="0"/>
        <v>103351.94</v>
      </c>
    </row>
    <row r="40" spans="1:14" x14ac:dyDescent="0.25">
      <c r="A40" s="7" t="s">
        <v>47</v>
      </c>
      <c r="B40" s="9">
        <f>17202.51</f>
        <v>17202.509999999998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>
        <f t="shared" si="0"/>
        <v>17202.509999999998</v>
      </c>
    </row>
    <row r="41" spans="1:14" x14ac:dyDescent="0.25">
      <c r="A41" s="7" t="s">
        <v>48</v>
      </c>
      <c r="B41" s="8"/>
      <c r="C41" s="8"/>
      <c r="D41" s="9">
        <f>3558.01</f>
        <v>3558.01</v>
      </c>
      <c r="E41" s="8"/>
      <c r="F41" s="8"/>
      <c r="G41" s="8"/>
      <c r="H41" s="8"/>
      <c r="I41" s="8"/>
      <c r="J41" s="8"/>
      <c r="K41" s="8"/>
      <c r="L41" s="8"/>
      <c r="M41" s="8"/>
      <c r="N41" s="9">
        <f t="shared" si="0"/>
        <v>3558.01</v>
      </c>
    </row>
    <row r="42" spans="1:14" x14ac:dyDescent="0.25">
      <c r="A42" s="7" t="s">
        <v>49</v>
      </c>
      <c r="B42" s="8"/>
      <c r="C42" s="8"/>
      <c r="D42" s="8"/>
      <c r="E42" s="9">
        <f>36443.97</f>
        <v>36443.97</v>
      </c>
      <c r="F42" s="9">
        <f>556.88</f>
        <v>556.88</v>
      </c>
      <c r="G42" s="9">
        <f>317.82</f>
        <v>317.82</v>
      </c>
      <c r="H42" s="8"/>
      <c r="I42" s="8"/>
      <c r="J42" s="8"/>
      <c r="K42" s="8"/>
      <c r="L42" s="8"/>
      <c r="M42" s="8"/>
      <c r="N42" s="9">
        <f t="shared" si="0"/>
        <v>37318.67</v>
      </c>
    </row>
    <row r="43" spans="1:14" x14ac:dyDescent="0.25">
      <c r="A43" s="7" t="s">
        <v>50</v>
      </c>
      <c r="B43" s="10">
        <f t="shared" ref="B43:M43" si="9">(((((((((((B10)+(B14))+(B18))+(B22))+(B26))+(B30))+(B31))+(B35))+(B39))+(B40))+(B41))+(B42)</f>
        <v>103288.95999999999</v>
      </c>
      <c r="C43" s="10">
        <f t="shared" si="9"/>
        <v>50603.62</v>
      </c>
      <c r="D43" s="10">
        <f t="shared" si="9"/>
        <v>55640.08</v>
      </c>
      <c r="E43" s="10">
        <f t="shared" si="9"/>
        <v>73196.66</v>
      </c>
      <c r="F43" s="10">
        <f t="shared" si="9"/>
        <v>26613.400000000005</v>
      </c>
      <c r="G43" s="10">
        <f t="shared" si="9"/>
        <v>20653.25</v>
      </c>
      <c r="H43" s="10">
        <f t="shared" si="9"/>
        <v>25058.770000000004</v>
      </c>
      <c r="I43" s="10">
        <f t="shared" si="9"/>
        <v>28673.280000000006</v>
      </c>
      <c r="J43" s="10">
        <f t="shared" si="9"/>
        <v>22064.1</v>
      </c>
      <c r="K43" s="10">
        <f t="shared" si="9"/>
        <v>27701.159999999989</v>
      </c>
      <c r="L43" s="10">
        <f t="shared" si="9"/>
        <v>21680.32</v>
      </c>
      <c r="M43" s="10">
        <f t="shared" si="9"/>
        <v>32506.640000000007</v>
      </c>
      <c r="N43" s="10">
        <f t="shared" si="0"/>
        <v>487680.24</v>
      </c>
    </row>
    <row r="44" spans="1:14" x14ac:dyDescent="0.25">
      <c r="A44" s="7" t="s">
        <v>51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A45" s="7" t="s">
        <v>52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>
        <f t="shared" ref="N45:N63" si="10">(((((((((((B45)+(C45))+(D45))+(E45))+(F45))+(G45))+(H45))+(I45))+(J45))+(K45))+(L45))+(M45)</f>
        <v>0</v>
      </c>
    </row>
    <row r="46" spans="1:14" x14ac:dyDescent="0.25">
      <c r="A46" s="7" t="s">
        <v>53</v>
      </c>
      <c r="B46" s="9">
        <f>14119.8</f>
        <v>14119.8</v>
      </c>
      <c r="C46" s="9">
        <f>39930.39</f>
        <v>39930.39</v>
      </c>
      <c r="D46" s="8"/>
      <c r="E46" s="9">
        <f>19959.42</f>
        <v>19959.419999999998</v>
      </c>
      <c r="F46" s="8"/>
      <c r="G46" s="9">
        <f>33584.92</f>
        <v>33584.92</v>
      </c>
      <c r="H46" s="8"/>
      <c r="I46" s="9">
        <f>13811.82</f>
        <v>13811.82</v>
      </c>
      <c r="J46" s="8"/>
      <c r="K46" s="9">
        <f>61344.8</f>
        <v>61344.800000000003</v>
      </c>
      <c r="L46" s="8"/>
      <c r="M46" s="8"/>
      <c r="N46" s="9">
        <f t="shared" si="10"/>
        <v>182751.15000000002</v>
      </c>
    </row>
    <row r="47" spans="1:14" x14ac:dyDescent="0.25">
      <c r="A47" s="7" t="s">
        <v>54</v>
      </c>
      <c r="B47" s="9">
        <f>9413.2</f>
        <v>9413.2000000000007</v>
      </c>
      <c r="C47" s="9">
        <f>39930.37</f>
        <v>39930.370000000003</v>
      </c>
      <c r="D47" s="8"/>
      <c r="E47" s="9">
        <f>13306.28</f>
        <v>13306.28</v>
      </c>
      <c r="F47" s="8"/>
      <c r="G47" s="9">
        <f>22389.96</f>
        <v>22389.96</v>
      </c>
      <c r="H47" s="8"/>
      <c r="I47" s="9">
        <f>9207.88</f>
        <v>9207.8799999999992</v>
      </c>
      <c r="J47" s="8"/>
      <c r="K47" s="9">
        <f>40896.54</f>
        <v>40896.54</v>
      </c>
      <c r="L47" s="8"/>
      <c r="M47" s="8"/>
      <c r="N47" s="9">
        <f t="shared" si="10"/>
        <v>135144.23000000001</v>
      </c>
    </row>
    <row r="48" spans="1:14" x14ac:dyDescent="0.25">
      <c r="A48" s="7" t="s">
        <v>55</v>
      </c>
      <c r="B48" s="10">
        <f t="shared" ref="B48:M48" si="11">((B45)+(B46))+(B47)</f>
        <v>23533</v>
      </c>
      <c r="C48" s="10">
        <f t="shared" si="11"/>
        <v>79860.760000000009</v>
      </c>
      <c r="D48" s="10">
        <f t="shared" si="11"/>
        <v>0</v>
      </c>
      <c r="E48" s="10">
        <f t="shared" si="11"/>
        <v>33265.699999999997</v>
      </c>
      <c r="F48" s="10">
        <f t="shared" si="11"/>
        <v>0</v>
      </c>
      <c r="G48" s="10">
        <f t="shared" si="11"/>
        <v>55974.879999999997</v>
      </c>
      <c r="H48" s="10">
        <f t="shared" si="11"/>
        <v>0</v>
      </c>
      <c r="I48" s="10">
        <f t="shared" si="11"/>
        <v>23019.699999999997</v>
      </c>
      <c r="J48" s="10">
        <f t="shared" si="11"/>
        <v>0</v>
      </c>
      <c r="K48" s="10">
        <f t="shared" si="11"/>
        <v>102241.34</v>
      </c>
      <c r="L48" s="10">
        <f t="shared" si="11"/>
        <v>0</v>
      </c>
      <c r="M48" s="10">
        <f t="shared" si="11"/>
        <v>0</v>
      </c>
      <c r="N48" s="10">
        <f t="shared" si="10"/>
        <v>317895.38</v>
      </c>
    </row>
    <row r="49" spans="1:14" x14ac:dyDescent="0.25">
      <c r="A49" s="7" t="s">
        <v>56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>
        <f t="shared" si="10"/>
        <v>0</v>
      </c>
    </row>
    <row r="50" spans="1:14" x14ac:dyDescent="0.25">
      <c r="A50" s="7" t="s">
        <v>57</v>
      </c>
      <c r="B50" s="9">
        <f>1416.07</f>
        <v>1416.07</v>
      </c>
      <c r="C50" s="9">
        <f>1373.5</f>
        <v>1373.5</v>
      </c>
      <c r="D50" s="9">
        <f>1057.4</f>
        <v>1057.4000000000001</v>
      </c>
      <c r="E50" s="9">
        <f>1089.01</f>
        <v>1089.01</v>
      </c>
      <c r="F50" s="9">
        <f>1099.53</f>
        <v>1099.53</v>
      </c>
      <c r="G50" s="9">
        <f>1250.45</f>
        <v>1250.45</v>
      </c>
      <c r="H50" s="9">
        <f>1364.68</f>
        <v>1364.68</v>
      </c>
      <c r="I50" s="9">
        <f>1375.07</f>
        <v>1375.07</v>
      </c>
      <c r="J50" s="9">
        <f>1484.11</f>
        <v>1484.11</v>
      </c>
      <c r="K50" s="9">
        <f>1511.48</f>
        <v>1511.48</v>
      </c>
      <c r="L50" s="8"/>
      <c r="M50" s="9">
        <f>1302.95</f>
        <v>1302.95</v>
      </c>
      <c r="N50" s="9">
        <f t="shared" si="10"/>
        <v>14324.25</v>
      </c>
    </row>
    <row r="51" spans="1:14" x14ac:dyDescent="0.25">
      <c r="A51" s="7" t="s">
        <v>58</v>
      </c>
      <c r="B51" s="9">
        <f>1155.82</f>
        <v>1155.82</v>
      </c>
      <c r="C51" s="9">
        <f>1108.28</f>
        <v>1108.28</v>
      </c>
      <c r="D51" s="9">
        <f>1052.66</f>
        <v>1052.6600000000001</v>
      </c>
      <c r="E51" s="9">
        <f>1062.37</f>
        <v>1062.3699999999999</v>
      </c>
      <c r="F51" s="9">
        <f>1075.21</f>
        <v>1075.21</v>
      </c>
      <c r="G51" s="9">
        <f>2242</f>
        <v>2242</v>
      </c>
      <c r="H51" s="9">
        <f>1073.03</f>
        <v>1073.03</v>
      </c>
      <c r="I51" s="9">
        <f>1005.62</f>
        <v>1005.62</v>
      </c>
      <c r="J51" s="9">
        <f>1080.6</f>
        <v>1080.5999999999999</v>
      </c>
      <c r="K51" s="9">
        <f>1057.89</f>
        <v>1057.8900000000001</v>
      </c>
      <c r="L51" s="8"/>
      <c r="M51" s="9">
        <f>1051.9</f>
        <v>1051.9000000000001</v>
      </c>
      <c r="N51" s="9">
        <f t="shared" si="10"/>
        <v>12965.380000000001</v>
      </c>
    </row>
    <row r="52" spans="1:14" x14ac:dyDescent="0.25">
      <c r="A52" s="7" t="s">
        <v>59</v>
      </c>
      <c r="B52" s="10">
        <f t="shared" ref="B52:M52" si="12">((B49)+(B50))+(B51)</f>
        <v>2571.89</v>
      </c>
      <c r="C52" s="10">
        <f t="shared" si="12"/>
        <v>2481.7799999999997</v>
      </c>
      <c r="D52" s="10">
        <f t="shared" si="12"/>
        <v>2110.0600000000004</v>
      </c>
      <c r="E52" s="10">
        <f t="shared" si="12"/>
        <v>2151.38</v>
      </c>
      <c r="F52" s="10">
        <f t="shared" si="12"/>
        <v>2174.7399999999998</v>
      </c>
      <c r="G52" s="10">
        <f t="shared" si="12"/>
        <v>3492.45</v>
      </c>
      <c r="H52" s="10">
        <f t="shared" si="12"/>
        <v>2437.71</v>
      </c>
      <c r="I52" s="10">
        <f t="shared" si="12"/>
        <v>2380.69</v>
      </c>
      <c r="J52" s="10">
        <f t="shared" si="12"/>
        <v>2564.71</v>
      </c>
      <c r="K52" s="10">
        <f t="shared" si="12"/>
        <v>2569.37</v>
      </c>
      <c r="L52" s="10">
        <f t="shared" si="12"/>
        <v>0</v>
      </c>
      <c r="M52" s="10">
        <f t="shared" si="12"/>
        <v>2354.8500000000004</v>
      </c>
      <c r="N52" s="10">
        <f t="shared" si="10"/>
        <v>27289.629999999997</v>
      </c>
    </row>
    <row r="53" spans="1:14" x14ac:dyDescent="0.25">
      <c r="A53" s="7" t="s">
        <v>60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>
        <f t="shared" si="10"/>
        <v>0</v>
      </c>
    </row>
    <row r="54" spans="1:14" x14ac:dyDescent="0.25">
      <c r="A54" s="7" t="s">
        <v>61</v>
      </c>
      <c r="B54" s="8"/>
      <c r="C54" s="8"/>
      <c r="D54" s="9">
        <f>2099.09</f>
        <v>2099.09</v>
      </c>
      <c r="E54" s="8"/>
      <c r="F54" s="8"/>
      <c r="G54" s="8"/>
      <c r="H54" s="8"/>
      <c r="I54" s="8"/>
      <c r="J54" s="8"/>
      <c r="K54" s="8"/>
      <c r="L54" s="8"/>
      <c r="M54" s="8"/>
      <c r="N54" s="9">
        <f t="shared" si="10"/>
        <v>2099.09</v>
      </c>
    </row>
    <row r="55" spans="1:14" x14ac:dyDescent="0.25">
      <c r="A55" s="7" t="s">
        <v>62</v>
      </c>
      <c r="B55" s="10">
        <f t="shared" ref="B55:M55" si="13">(B53)+(B54)</f>
        <v>0</v>
      </c>
      <c r="C55" s="10">
        <f t="shared" si="13"/>
        <v>0</v>
      </c>
      <c r="D55" s="10">
        <f t="shared" si="13"/>
        <v>2099.09</v>
      </c>
      <c r="E55" s="10">
        <f t="shared" si="13"/>
        <v>0</v>
      </c>
      <c r="F55" s="10">
        <f t="shared" si="13"/>
        <v>0</v>
      </c>
      <c r="G55" s="10">
        <f t="shared" si="13"/>
        <v>0</v>
      </c>
      <c r="H55" s="10">
        <f t="shared" si="13"/>
        <v>0</v>
      </c>
      <c r="I55" s="10">
        <f t="shared" si="13"/>
        <v>0</v>
      </c>
      <c r="J55" s="10">
        <f t="shared" si="13"/>
        <v>0</v>
      </c>
      <c r="K55" s="10">
        <f t="shared" si="13"/>
        <v>0</v>
      </c>
      <c r="L55" s="10">
        <f t="shared" si="13"/>
        <v>0</v>
      </c>
      <c r="M55" s="10">
        <f t="shared" si="13"/>
        <v>0</v>
      </c>
      <c r="N55" s="10">
        <f t="shared" si="10"/>
        <v>2099.09</v>
      </c>
    </row>
    <row r="56" spans="1:14" x14ac:dyDescent="0.25">
      <c r="A56" s="7" t="s">
        <v>63</v>
      </c>
      <c r="B56" s="9">
        <f>604.44</f>
        <v>604.44000000000005</v>
      </c>
      <c r="C56" s="9">
        <f>822.21</f>
        <v>822.21</v>
      </c>
      <c r="D56" s="9">
        <f>607.96</f>
        <v>607.96</v>
      </c>
      <c r="E56" s="9">
        <f>645.07</f>
        <v>645.07000000000005</v>
      </c>
      <c r="F56" s="9">
        <f>659.63</f>
        <v>659.63</v>
      </c>
      <c r="G56" s="9">
        <f>664.52</f>
        <v>664.52</v>
      </c>
      <c r="H56" s="9">
        <f>743.24</f>
        <v>743.24</v>
      </c>
      <c r="I56" s="9">
        <f>706.36</f>
        <v>706.36</v>
      </c>
      <c r="J56" s="9">
        <f>857.97</f>
        <v>857.97</v>
      </c>
      <c r="K56" s="8"/>
      <c r="L56" s="9">
        <f>746.53</f>
        <v>746.53</v>
      </c>
      <c r="M56" s="9">
        <f>751.38</f>
        <v>751.38</v>
      </c>
      <c r="N56" s="9">
        <f t="shared" si="10"/>
        <v>7809.31</v>
      </c>
    </row>
    <row r="57" spans="1:14" x14ac:dyDescent="0.25">
      <c r="A57" s="7" t="s">
        <v>64</v>
      </c>
      <c r="B57" s="9">
        <f>1348.24</f>
        <v>1348.24</v>
      </c>
      <c r="C57" s="9">
        <f>663.69</f>
        <v>663.69</v>
      </c>
      <c r="D57" s="9">
        <f>662.68</f>
        <v>662.68</v>
      </c>
      <c r="E57" s="8"/>
      <c r="F57" s="9">
        <f>1325.36</f>
        <v>1325.36</v>
      </c>
      <c r="G57" s="9">
        <f>662.68</f>
        <v>662.68</v>
      </c>
      <c r="H57" s="9">
        <f>662.68</f>
        <v>662.68</v>
      </c>
      <c r="I57" s="9">
        <f>658.2</f>
        <v>658.2</v>
      </c>
      <c r="J57" s="9">
        <f>649.63</f>
        <v>649.63</v>
      </c>
      <c r="K57" s="9">
        <f>649.63</f>
        <v>649.63</v>
      </c>
      <c r="L57" s="8"/>
      <c r="M57" s="9">
        <f>1299.26</f>
        <v>1299.26</v>
      </c>
      <c r="N57" s="9">
        <f t="shared" si="10"/>
        <v>8582.0500000000011</v>
      </c>
    </row>
    <row r="58" spans="1:14" x14ac:dyDescent="0.25">
      <c r="A58" s="7" t="s">
        <v>65</v>
      </c>
      <c r="B58" s="10">
        <f t="shared" ref="B58:M58" si="14">(B56)+(B57)</f>
        <v>1952.68</v>
      </c>
      <c r="C58" s="10">
        <f t="shared" si="14"/>
        <v>1485.9</v>
      </c>
      <c r="D58" s="10">
        <f t="shared" si="14"/>
        <v>1270.6399999999999</v>
      </c>
      <c r="E58" s="10">
        <f t="shared" si="14"/>
        <v>645.07000000000005</v>
      </c>
      <c r="F58" s="10">
        <f t="shared" si="14"/>
        <v>1984.9899999999998</v>
      </c>
      <c r="G58" s="10">
        <f t="shared" si="14"/>
        <v>1327.1999999999998</v>
      </c>
      <c r="H58" s="10">
        <f t="shared" si="14"/>
        <v>1405.92</v>
      </c>
      <c r="I58" s="10">
        <f t="shared" si="14"/>
        <v>1364.56</v>
      </c>
      <c r="J58" s="10">
        <f t="shared" si="14"/>
        <v>1507.6</v>
      </c>
      <c r="K58" s="10">
        <f t="shared" si="14"/>
        <v>649.63</v>
      </c>
      <c r="L58" s="10">
        <f t="shared" si="14"/>
        <v>746.53</v>
      </c>
      <c r="M58" s="10">
        <f t="shared" si="14"/>
        <v>2050.64</v>
      </c>
      <c r="N58" s="10">
        <f t="shared" si="10"/>
        <v>16391.36</v>
      </c>
    </row>
    <row r="59" spans="1:14" x14ac:dyDescent="0.25">
      <c r="A59" s="7" t="s">
        <v>66</v>
      </c>
      <c r="B59" s="8"/>
      <c r="C59" s="8"/>
      <c r="D59" s="9">
        <f>849.75</f>
        <v>849.75</v>
      </c>
      <c r="E59" s="8"/>
      <c r="F59" s="8"/>
      <c r="G59" s="8"/>
      <c r="H59" s="8"/>
      <c r="I59" s="8"/>
      <c r="J59" s="8"/>
      <c r="K59" s="8"/>
      <c r="L59" s="8"/>
      <c r="M59" s="8"/>
      <c r="N59" s="9">
        <f t="shared" si="10"/>
        <v>849.75</v>
      </c>
    </row>
    <row r="60" spans="1:14" x14ac:dyDescent="0.25">
      <c r="A60" s="7" t="s">
        <v>67</v>
      </c>
      <c r="B60" s="8"/>
      <c r="C60" s="9">
        <f>207</f>
        <v>207</v>
      </c>
      <c r="D60" s="8"/>
      <c r="E60" s="9">
        <f>582</f>
        <v>582</v>
      </c>
      <c r="F60" s="9">
        <f>419</f>
        <v>419</v>
      </c>
      <c r="G60" s="8"/>
      <c r="H60" s="8"/>
      <c r="I60" s="8"/>
      <c r="J60" s="8"/>
      <c r="K60" s="9">
        <f>357</f>
        <v>357</v>
      </c>
      <c r="L60" s="8"/>
      <c r="M60" s="9">
        <f>207</f>
        <v>207</v>
      </c>
      <c r="N60" s="9">
        <f t="shared" si="10"/>
        <v>1772</v>
      </c>
    </row>
    <row r="61" spans="1:14" x14ac:dyDescent="0.25">
      <c r="A61" s="7" t="s">
        <v>68</v>
      </c>
      <c r="B61" s="10">
        <f t="shared" ref="B61:M61" si="15">(B59)+(B60)</f>
        <v>0</v>
      </c>
      <c r="C61" s="10">
        <f t="shared" si="15"/>
        <v>207</v>
      </c>
      <c r="D61" s="10">
        <f t="shared" si="15"/>
        <v>849.75</v>
      </c>
      <c r="E61" s="10">
        <f t="shared" si="15"/>
        <v>582</v>
      </c>
      <c r="F61" s="10">
        <f t="shared" si="15"/>
        <v>419</v>
      </c>
      <c r="G61" s="10">
        <f t="shared" si="15"/>
        <v>0</v>
      </c>
      <c r="H61" s="10">
        <f t="shared" si="15"/>
        <v>0</v>
      </c>
      <c r="I61" s="10">
        <f t="shared" si="15"/>
        <v>0</v>
      </c>
      <c r="J61" s="10">
        <f t="shared" si="15"/>
        <v>0</v>
      </c>
      <c r="K61" s="10">
        <f t="shared" si="15"/>
        <v>357</v>
      </c>
      <c r="L61" s="10">
        <f t="shared" si="15"/>
        <v>0</v>
      </c>
      <c r="M61" s="10">
        <f t="shared" si="15"/>
        <v>207</v>
      </c>
      <c r="N61" s="10">
        <f t="shared" si="10"/>
        <v>2621.75</v>
      </c>
    </row>
    <row r="62" spans="1:14" x14ac:dyDescent="0.25">
      <c r="A62" s="7" t="s">
        <v>69</v>
      </c>
      <c r="B62" s="10">
        <f t="shared" ref="B62:M62" si="16">((((B48)+(B52))+(B55))+(B58))+(B61)</f>
        <v>28057.57</v>
      </c>
      <c r="C62" s="10">
        <f t="shared" si="16"/>
        <v>84035.44</v>
      </c>
      <c r="D62" s="10">
        <f t="shared" si="16"/>
        <v>6329.5400000000009</v>
      </c>
      <c r="E62" s="10">
        <f t="shared" si="16"/>
        <v>36644.149999999994</v>
      </c>
      <c r="F62" s="10">
        <f t="shared" si="16"/>
        <v>4578.7299999999996</v>
      </c>
      <c r="G62" s="10">
        <f t="shared" si="16"/>
        <v>60794.529999999992</v>
      </c>
      <c r="H62" s="10">
        <f t="shared" si="16"/>
        <v>3843.63</v>
      </c>
      <c r="I62" s="10">
        <f t="shared" si="16"/>
        <v>26764.949999999997</v>
      </c>
      <c r="J62" s="10">
        <f t="shared" si="16"/>
        <v>4072.31</v>
      </c>
      <c r="K62" s="10">
        <f t="shared" si="16"/>
        <v>105817.34</v>
      </c>
      <c r="L62" s="10">
        <f t="shared" si="16"/>
        <v>746.53</v>
      </c>
      <c r="M62" s="10">
        <f t="shared" si="16"/>
        <v>4612.49</v>
      </c>
      <c r="N62" s="10">
        <f t="shared" si="10"/>
        <v>366297.21000000008</v>
      </c>
    </row>
    <row r="63" spans="1:14" x14ac:dyDescent="0.25">
      <c r="A63" s="7" t="s">
        <v>70</v>
      </c>
      <c r="B63" s="10">
        <f t="shared" ref="B63:M63" si="17">(B43)-(B62)</f>
        <v>75231.389999999985</v>
      </c>
      <c r="C63" s="10">
        <f t="shared" si="17"/>
        <v>-33431.82</v>
      </c>
      <c r="D63" s="10">
        <f t="shared" si="17"/>
        <v>49310.54</v>
      </c>
      <c r="E63" s="10">
        <f t="shared" si="17"/>
        <v>36552.510000000009</v>
      </c>
      <c r="F63" s="10">
        <f t="shared" si="17"/>
        <v>22034.670000000006</v>
      </c>
      <c r="G63" s="10">
        <f t="shared" si="17"/>
        <v>-40141.279999999992</v>
      </c>
      <c r="H63" s="10">
        <f t="shared" si="17"/>
        <v>21215.140000000003</v>
      </c>
      <c r="I63" s="10">
        <f t="shared" si="17"/>
        <v>1908.330000000009</v>
      </c>
      <c r="J63" s="10">
        <f t="shared" si="17"/>
        <v>17991.789999999997</v>
      </c>
      <c r="K63" s="10">
        <f t="shared" si="17"/>
        <v>-78116.180000000008</v>
      </c>
      <c r="L63" s="10">
        <f t="shared" si="17"/>
        <v>20933.79</v>
      </c>
      <c r="M63" s="10">
        <f t="shared" si="17"/>
        <v>27894.150000000009</v>
      </c>
      <c r="N63" s="10">
        <f t="shared" si="10"/>
        <v>121383.03000000001</v>
      </c>
    </row>
    <row r="64" spans="1:14" x14ac:dyDescent="0.25">
      <c r="A64" s="7" t="s">
        <v>71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5">
      <c r="A65" s="7" t="s">
        <v>72</v>
      </c>
      <c r="B65" s="9">
        <f>48.24</f>
        <v>48.24</v>
      </c>
      <c r="C65" s="9">
        <f>33.24</f>
        <v>33.24</v>
      </c>
      <c r="D65" s="9">
        <f>41.95</f>
        <v>41.95</v>
      </c>
      <c r="E65" s="9">
        <f>100.75</f>
        <v>100.75</v>
      </c>
      <c r="F65" s="8"/>
      <c r="G65" s="9">
        <f>-35</f>
        <v>-35</v>
      </c>
      <c r="H65" s="8"/>
      <c r="I65" s="8"/>
      <c r="J65" s="8"/>
      <c r="K65" s="8"/>
      <c r="L65" s="8"/>
      <c r="M65" s="8"/>
      <c r="N65" s="9">
        <f t="shared" ref="N65:N96" si="18">(((((((((((B65)+(C65))+(D65))+(E65))+(F65))+(G65))+(H65))+(I65))+(J65))+(K65))+(L65))+(M65)</f>
        <v>189.18</v>
      </c>
    </row>
    <row r="66" spans="1:14" x14ac:dyDescent="0.25">
      <c r="A66" s="7" t="s">
        <v>73</v>
      </c>
      <c r="B66" s="9">
        <f>17.5</f>
        <v>17.5</v>
      </c>
      <c r="C66" s="9">
        <f>25</f>
        <v>25</v>
      </c>
      <c r="D66" s="9">
        <f>17.5</f>
        <v>17.5</v>
      </c>
      <c r="E66" s="9">
        <f>1962.6</f>
        <v>1962.6</v>
      </c>
      <c r="F66" s="9">
        <f t="shared" ref="F66:H67" si="19">17.5</f>
        <v>17.5</v>
      </c>
      <c r="G66" s="9">
        <f t="shared" si="19"/>
        <v>17.5</v>
      </c>
      <c r="H66" s="9">
        <f t="shared" si="19"/>
        <v>17.5</v>
      </c>
      <c r="I66" s="9">
        <f>27.77</f>
        <v>27.77</v>
      </c>
      <c r="J66" s="9">
        <f>54.06</f>
        <v>54.06</v>
      </c>
      <c r="K66" s="9">
        <f>38.63</f>
        <v>38.630000000000003</v>
      </c>
      <c r="L66" s="9">
        <f>62.58</f>
        <v>62.58</v>
      </c>
      <c r="M66" s="9">
        <f>99.95</f>
        <v>99.95</v>
      </c>
      <c r="N66" s="9">
        <f t="shared" si="18"/>
        <v>2358.0899999999997</v>
      </c>
    </row>
    <row r="67" spans="1:14" x14ac:dyDescent="0.25">
      <c r="A67" s="7" t="s">
        <v>74</v>
      </c>
      <c r="B67" s="9">
        <f>17.5</f>
        <v>17.5</v>
      </c>
      <c r="C67" s="9">
        <f>25</f>
        <v>25</v>
      </c>
      <c r="D67" s="9">
        <f>17.5</f>
        <v>17.5</v>
      </c>
      <c r="E67" s="9">
        <f>1962.58</f>
        <v>1962.58</v>
      </c>
      <c r="F67" s="9">
        <f t="shared" si="19"/>
        <v>17.5</v>
      </c>
      <c r="G67" s="9">
        <f t="shared" si="19"/>
        <v>17.5</v>
      </c>
      <c r="H67" s="9">
        <f t="shared" si="19"/>
        <v>17.5</v>
      </c>
      <c r="I67" s="9">
        <f>27.77</f>
        <v>27.77</v>
      </c>
      <c r="J67" s="9">
        <f>47.4</f>
        <v>47.4</v>
      </c>
      <c r="K67" s="9">
        <f>38.63</f>
        <v>38.630000000000003</v>
      </c>
      <c r="L67" s="9">
        <f>55.58</f>
        <v>55.58</v>
      </c>
      <c r="M67" s="9">
        <f>99.94</f>
        <v>99.94</v>
      </c>
      <c r="N67" s="9">
        <f t="shared" si="18"/>
        <v>2344.4</v>
      </c>
    </row>
    <row r="68" spans="1:14" x14ac:dyDescent="0.25">
      <c r="A68" s="7" t="s">
        <v>75</v>
      </c>
      <c r="B68" s="10">
        <f t="shared" ref="B68:M68" si="20">((B65)+(B66))+(B67)</f>
        <v>83.240000000000009</v>
      </c>
      <c r="C68" s="10">
        <f t="shared" si="20"/>
        <v>83.240000000000009</v>
      </c>
      <c r="D68" s="10">
        <f t="shared" si="20"/>
        <v>76.95</v>
      </c>
      <c r="E68" s="10">
        <f t="shared" si="20"/>
        <v>4025.93</v>
      </c>
      <c r="F68" s="10">
        <f t="shared" si="20"/>
        <v>35</v>
      </c>
      <c r="G68" s="10">
        <f t="shared" si="20"/>
        <v>0</v>
      </c>
      <c r="H68" s="10">
        <f t="shared" si="20"/>
        <v>35</v>
      </c>
      <c r="I68" s="10">
        <f t="shared" si="20"/>
        <v>55.54</v>
      </c>
      <c r="J68" s="10">
        <f t="shared" si="20"/>
        <v>101.46000000000001</v>
      </c>
      <c r="K68" s="10">
        <f t="shared" si="20"/>
        <v>77.260000000000005</v>
      </c>
      <c r="L68" s="10">
        <f t="shared" si="20"/>
        <v>118.16</v>
      </c>
      <c r="M68" s="10">
        <f t="shared" si="20"/>
        <v>199.89</v>
      </c>
      <c r="N68" s="10">
        <f t="shared" si="18"/>
        <v>4891.67</v>
      </c>
    </row>
    <row r="69" spans="1:14" x14ac:dyDescent="0.25">
      <c r="A69" s="7" t="s">
        <v>76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>
        <f t="shared" si="18"/>
        <v>0</v>
      </c>
    </row>
    <row r="70" spans="1:14" x14ac:dyDescent="0.25">
      <c r="A70" s="7" t="s">
        <v>77</v>
      </c>
      <c r="B70" s="9">
        <f>720</f>
        <v>720</v>
      </c>
      <c r="C70" s="8"/>
      <c r="D70" s="9">
        <f>450</f>
        <v>450</v>
      </c>
      <c r="E70" s="9">
        <f>450</f>
        <v>450</v>
      </c>
      <c r="F70" s="9">
        <f>950</f>
        <v>950</v>
      </c>
      <c r="G70" s="9">
        <f>6600</f>
        <v>6600</v>
      </c>
      <c r="H70" s="9">
        <f>4590</f>
        <v>4590</v>
      </c>
      <c r="I70" s="8"/>
      <c r="J70" s="8"/>
      <c r="K70" s="8"/>
      <c r="L70" s="8"/>
      <c r="M70" s="9">
        <f>4170</f>
        <v>4170</v>
      </c>
      <c r="N70" s="9">
        <f t="shared" si="18"/>
        <v>17930</v>
      </c>
    </row>
    <row r="71" spans="1:14" x14ac:dyDescent="0.25">
      <c r="A71" s="7" t="s">
        <v>78</v>
      </c>
      <c r="B71" s="9">
        <f>480</f>
        <v>480</v>
      </c>
      <c r="C71" s="8"/>
      <c r="D71" s="9">
        <f>450</f>
        <v>450</v>
      </c>
      <c r="E71" s="9">
        <f>450</f>
        <v>450</v>
      </c>
      <c r="F71" s="9">
        <f>950</f>
        <v>950</v>
      </c>
      <c r="G71" s="9">
        <f>4400</f>
        <v>4400</v>
      </c>
      <c r="H71" s="9">
        <f>3210</f>
        <v>3210</v>
      </c>
      <c r="I71" s="8"/>
      <c r="J71" s="8"/>
      <c r="K71" s="8"/>
      <c r="L71" s="8"/>
      <c r="M71" s="9">
        <f>2780</f>
        <v>2780</v>
      </c>
      <c r="N71" s="9">
        <f t="shared" si="18"/>
        <v>12720</v>
      </c>
    </row>
    <row r="72" spans="1:14" x14ac:dyDescent="0.25">
      <c r="A72" s="7" t="s">
        <v>79</v>
      </c>
      <c r="B72" s="10">
        <f t="shared" ref="B72:M72" si="21">((B69)+(B70))+(B71)</f>
        <v>1200</v>
      </c>
      <c r="C72" s="10">
        <f t="shared" si="21"/>
        <v>0</v>
      </c>
      <c r="D72" s="10">
        <f t="shared" si="21"/>
        <v>900</v>
      </c>
      <c r="E72" s="10">
        <f t="shared" si="21"/>
        <v>900</v>
      </c>
      <c r="F72" s="10">
        <f t="shared" si="21"/>
        <v>1900</v>
      </c>
      <c r="G72" s="10">
        <f t="shared" si="21"/>
        <v>11000</v>
      </c>
      <c r="H72" s="10">
        <f t="shared" si="21"/>
        <v>7800</v>
      </c>
      <c r="I72" s="10">
        <f t="shared" si="21"/>
        <v>0</v>
      </c>
      <c r="J72" s="10">
        <f t="shared" si="21"/>
        <v>0</v>
      </c>
      <c r="K72" s="10">
        <f t="shared" si="21"/>
        <v>0</v>
      </c>
      <c r="L72" s="10">
        <f t="shared" si="21"/>
        <v>0</v>
      </c>
      <c r="M72" s="10">
        <f t="shared" si="21"/>
        <v>6950</v>
      </c>
      <c r="N72" s="10">
        <f t="shared" si="18"/>
        <v>30650</v>
      </c>
    </row>
    <row r="73" spans="1:14" x14ac:dyDescent="0.25">
      <c r="A73" s="7" t="s">
        <v>80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>
        <f t="shared" si="18"/>
        <v>0</v>
      </c>
    </row>
    <row r="74" spans="1:14" x14ac:dyDescent="0.25">
      <c r="A74" s="7" t="s">
        <v>81</v>
      </c>
      <c r="B74" s="9">
        <f>1102.5</f>
        <v>1102.5</v>
      </c>
      <c r="C74" s="8"/>
      <c r="D74" s="9">
        <f>4539.75</f>
        <v>4539.75</v>
      </c>
      <c r="E74" s="9">
        <f>1609.03</f>
        <v>1609.03</v>
      </c>
      <c r="F74" s="9">
        <f>2146.63</f>
        <v>2146.63</v>
      </c>
      <c r="G74" s="9">
        <f>1642.33</f>
        <v>1642.33</v>
      </c>
      <c r="H74" s="8"/>
      <c r="I74" s="9">
        <f>3607.65</f>
        <v>3607.65</v>
      </c>
      <c r="J74" s="8"/>
      <c r="K74" s="9">
        <f>3569.29</f>
        <v>3569.29</v>
      </c>
      <c r="L74" s="8"/>
      <c r="M74" s="9">
        <f>2195.23</f>
        <v>2195.23</v>
      </c>
      <c r="N74" s="9">
        <f t="shared" si="18"/>
        <v>20412.41</v>
      </c>
    </row>
    <row r="75" spans="1:14" x14ac:dyDescent="0.25">
      <c r="A75" s="7" t="s">
        <v>82</v>
      </c>
      <c r="B75" s="9">
        <f>735</f>
        <v>735</v>
      </c>
      <c r="C75" s="8"/>
      <c r="D75" s="9">
        <f>3026.51</f>
        <v>3026.51</v>
      </c>
      <c r="E75" s="9">
        <f>1072.69</f>
        <v>1072.69</v>
      </c>
      <c r="F75" s="9">
        <f>1431.09</f>
        <v>1431.09</v>
      </c>
      <c r="G75" s="9">
        <f>1094.89</f>
        <v>1094.8900000000001</v>
      </c>
      <c r="H75" s="8"/>
      <c r="I75" s="9">
        <f>2405.11</f>
        <v>2405.11</v>
      </c>
      <c r="J75" s="8"/>
      <c r="K75" s="9">
        <f>2379.52</f>
        <v>2379.52</v>
      </c>
      <c r="L75" s="8"/>
      <c r="M75" s="9">
        <f>1463.49</f>
        <v>1463.49</v>
      </c>
      <c r="N75" s="9">
        <f t="shared" si="18"/>
        <v>13608.300000000001</v>
      </c>
    </row>
    <row r="76" spans="1:14" x14ac:dyDescent="0.25">
      <c r="A76" s="7" t="s">
        <v>83</v>
      </c>
      <c r="B76" s="10">
        <f t="shared" ref="B76:M76" si="22">((B73)+(B74))+(B75)</f>
        <v>1837.5</v>
      </c>
      <c r="C76" s="10">
        <f t="shared" si="22"/>
        <v>0</v>
      </c>
      <c r="D76" s="10">
        <f t="shared" si="22"/>
        <v>7566.26</v>
      </c>
      <c r="E76" s="10">
        <f t="shared" si="22"/>
        <v>2681.7200000000003</v>
      </c>
      <c r="F76" s="10">
        <f t="shared" si="22"/>
        <v>3577.7200000000003</v>
      </c>
      <c r="G76" s="10">
        <f t="shared" si="22"/>
        <v>2737.2200000000003</v>
      </c>
      <c r="H76" s="10">
        <f t="shared" si="22"/>
        <v>0</v>
      </c>
      <c r="I76" s="10">
        <f t="shared" si="22"/>
        <v>6012.76</v>
      </c>
      <c r="J76" s="10">
        <f t="shared" si="22"/>
        <v>0</v>
      </c>
      <c r="K76" s="10">
        <f t="shared" si="22"/>
        <v>5948.8099999999995</v>
      </c>
      <c r="L76" s="10">
        <f t="shared" si="22"/>
        <v>0</v>
      </c>
      <c r="M76" s="10">
        <f t="shared" si="22"/>
        <v>3658.7200000000003</v>
      </c>
      <c r="N76" s="10">
        <f t="shared" si="18"/>
        <v>34020.71</v>
      </c>
    </row>
    <row r="77" spans="1:14" x14ac:dyDescent="0.25">
      <c r="A77" s="7" t="s">
        <v>84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>
        <f t="shared" si="18"/>
        <v>0</v>
      </c>
    </row>
    <row r="78" spans="1:14" x14ac:dyDescent="0.25">
      <c r="A78" s="7" t="s">
        <v>85</v>
      </c>
      <c r="B78" s="8"/>
      <c r="C78" s="8"/>
      <c r="D78" s="8"/>
      <c r="E78" s="9">
        <f>6956.63</f>
        <v>6956.63</v>
      </c>
      <c r="F78" s="9">
        <f>10385.75</f>
        <v>10385.75</v>
      </c>
      <c r="G78" s="9">
        <f>7482.4</f>
        <v>7482.4</v>
      </c>
      <c r="H78" s="9">
        <f>13367.5</f>
        <v>13367.5</v>
      </c>
      <c r="I78" s="9">
        <f>14790.6</f>
        <v>14790.6</v>
      </c>
      <c r="J78" s="9">
        <f>6513.23</f>
        <v>6513.23</v>
      </c>
      <c r="K78" s="9">
        <f>5010</f>
        <v>5010</v>
      </c>
      <c r="L78" s="9">
        <f>19100.25</f>
        <v>19100.25</v>
      </c>
      <c r="M78" s="9">
        <f>6973.84</f>
        <v>6973.84</v>
      </c>
      <c r="N78" s="9">
        <f t="shared" si="18"/>
        <v>90580.2</v>
      </c>
    </row>
    <row r="79" spans="1:14" x14ac:dyDescent="0.25">
      <c r="A79" s="7" t="s">
        <v>86</v>
      </c>
      <c r="B79" s="8"/>
      <c r="C79" s="8"/>
      <c r="D79" s="8"/>
      <c r="E79" s="9">
        <f>6875.58</f>
        <v>6875.58</v>
      </c>
      <c r="F79" s="9">
        <f>10385.75</f>
        <v>10385.75</v>
      </c>
      <c r="G79" s="9">
        <f>7482.39</f>
        <v>7482.39</v>
      </c>
      <c r="H79" s="9">
        <f>13367.5</f>
        <v>13367.5</v>
      </c>
      <c r="I79" s="9">
        <f>9860.4</f>
        <v>9860.4</v>
      </c>
      <c r="J79" s="9">
        <f>4342.16</f>
        <v>4342.16</v>
      </c>
      <c r="K79" s="9">
        <f>3340</f>
        <v>3340</v>
      </c>
      <c r="L79" s="9">
        <f>12733.5</f>
        <v>12733.5</v>
      </c>
      <c r="M79" s="9">
        <f>4649.22</f>
        <v>4649.22</v>
      </c>
      <c r="N79" s="9">
        <f t="shared" si="18"/>
        <v>73036.5</v>
      </c>
    </row>
    <row r="80" spans="1:14" x14ac:dyDescent="0.25">
      <c r="A80" s="7" t="s">
        <v>87</v>
      </c>
      <c r="B80" s="10">
        <f t="shared" ref="B80:M80" si="23">((B77)+(B78))+(B79)</f>
        <v>0</v>
      </c>
      <c r="C80" s="10">
        <f t="shared" si="23"/>
        <v>0</v>
      </c>
      <c r="D80" s="10">
        <f t="shared" si="23"/>
        <v>0</v>
      </c>
      <c r="E80" s="10">
        <f t="shared" si="23"/>
        <v>13832.21</v>
      </c>
      <c r="F80" s="10">
        <f t="shared" si="23"/>
        <v>20771.5</v>
      </c>
      <c r="G80" s="10">
        <f t="shared" si="23"/>
        <v>14964.79</v>
      </c>
      <c r="H80" s="10">
        <f t="shared" si="23"/>
        <v>26735</v>
      </c>
      <c r="I80" s="10">
        <f t="shared" si="23"/>
        <v>24651</v>
      </c>
      <c r="J80" s="10">
        <f t="shared" si="23"/>
        <v>10855.39</v>
      </c>
      <c r="K80" s="10">
        <f t="shared" si="23"/>
        <v>8350</v>
      </c>
      <c r="L80" s="10">
        <f t="shared" si="23"/>
        <v>31833.75</v>
      </c>
      <c r="M80" s="10">
        <f t="shared" si="23"/>
        <v>11623.060000000001</v>
      </c>
      <c r="N80" s="10">
        <f t="shared" si="18"/>
        <v>163616.70000000001</v>
      </c>
    </row>
    <row r="81" spans="1:14" x14ac:dyDescent="0.25">
      <c r="A81" s="7" t="s">
        <v>88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>
        <f t="shared" si="18"/>
        <v>0</v>
      </c>
    </row>
    <row r="82" spans="1:14" x14ac:dyDescent="0.25">
      <c r="A82" s="7" t="s">
        <v>89</v>
      </c>
      <c r="B82" s="9">
        <f>662.5</f>
        <v>662.5</v>
      </c>
      <c r="C82" s="8"/>
      <c r="D82" s="9">
        <f>29.32</f>
        <v>29.32</v>
      </c>
      <c r="E82" s="9">
        <f>29.32</f>
        <v>29.32</v>
      </c>
      <c r="F82" s="9">
        <f>29.32</f>
        <v>29.32</v>
      </c>
      <c r="G82" s="9">
        <f>29.32</f>
        <v>29.32</v>
      </c>
      <c r="H82" s="9">
        <f>29.32</f>
        <v>29.32</v>
      </c>
      <c r="I82" s="9">
        <f>433.82</f>
        <v>433.82</v>
      </c>
      <c r="J82" s="9">
        <f>34.65</f>
        <v>34.65</v>
      </c>
      <c r="K82" s="9">
        <f>34.65</f>
        <v>34.65</v>
      </c>
      <c r="L82" s="9">
        <f>69.3</f>
        <v>69.3</v>
      </c>
      <c r="M82" s="9">
        <f>319.3</f>
        <v>319.3</v>
      </c>
      <c r="N82" s="9">
        <f t="shared" si="18"/>
        <v>1700.8200000000004</v>
      </c>
    </row>
    <row r="83" spans="1:14" x14ac:dyDescent="0.25">
      <c r="A83" s="7" t="s">
        <v>90</v>
      </c>
      <c r="B83" s="9">
        <f>662.5</f>
        <v>662.5</v>
      </c>
      <c r="C83" s="8"/>
      <c r="D83" s="9">
        <f>29.31</f>
        <v>29.31</v>
      </c>
      <c r="E83" s="9">
        <f>29.31</f>
        <v>29.31</v>
      </c>
      <c r="F83" s="9">
        <f>29.31</f>
        <v>29.31</v>
      </c>
      <c r="G83" s="9">
        <f>29.31</f>
        <v>29.31</v>
      </c>
      <c r="H83" s="9">
        <f>29.31</f>
        <v>29.31</v>
      </c>
      <c r="I83" s="9">
        <f>433.81</f>
        <v>433.81</v>
      </c>
      <c r="J83" s="9">
        <f>34.64</f>
        <v>34.64</v>
      </c>
      <c r="K83" s="9">
        <f>34.64</f>
        <v>34.64</v>
      </c>
      <c r="L83" s="9">
        <f>69.28</f>
        <v>69.28</v>
      </c>
      <c r="M83" s="9">
        <f>319.28</f>
        <v>319.27999999999997</v>
      </c>
      <c r="N83" s="9">
        <f t="shared" si="18"/>
        <v>1700.6999999999998</v>
      </c>
    </row>
    <row r="84" spans="1:14" x14ac:dyDescent="0.25">
      <c r="A84" s="7" t="s">
        <v>91</v>
      </c>
      <c r="B84" s="10">
        <f t="shared" ref="B84:M84" si="24">((B81)+(B82))+(B83)</f>
        <v>1325</v>
      </c>
      <c r="C84" s="10">
        <f t="shared" si="24"/>
        <v>0</v>
      </c>
      <c r="D84" s="10">
        <f t="shared" si="24"/>
        <v>58.629999999999995</v>
      </c>
      <c r="E84" s="10">
        <f t="shared" si="24"/>
        <v>58.629999999999995</v>
      </c>
      <c r="F84" s="10">
        <f t="shared" si="24"/>
        <v>58.629999999999995</v>
      </c>
      <c r="G84" s="10">
        <f t="shared" si="24"/>
        <v>58.629999999999995</v>
      </c>
      <c r="H84" s="10">
        <f t="shared" si="24"/>
        <v>58.629999999999995</v>
      </c>
      <c r="I84" s="10">
        <f t="shared" si="24"/>
        <v>867.63</v>
      </c>
      <c r="J84" s="10">
        <f t="shared" si="24"/>
        <v>69.289999999999992</v>
      </c>
      <c r="K84" s="10">
        <f t="shared" si="24"/>
        <v>69.289999999999992</v>
      </c>
      <c r="L84" s="10">
        <f t="shared" si="24"/>
        <v>138.57999999999998</v>
      </c>
      <c r="M84" s="10">
        <f t="shared" si="24"/>
        <v>638.57999999999993</v>
      </c>
      <c r="N84" s="10">
        <f t="shared" si="18"/>
        <v>3401.5200000000004</v>
      </c>
    </row>
    <row r="85" spans="1:14" x14ac:dyDescent="0.25">
      <c r="A85" s="7" t="s">
        <v>92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>
        <f t="shared" si="18"/>
        <v>0</v>
      </c>
    </row>
    <row r="86" spans="1:14" x14ac:dyDescent="0.25">
      <c r="A86" s="7" t="s">
        <v>93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9">
        <f>565.95</f>
        <v>565.95000000000005</v>
      </c>
      <c r="M86" s="8"/>
      <c r="N86" s="9">
        <f t="shared" si="18"/>
        <v>565.95000000000005</v>
      </c>
    </row>
    <row r="87" spans="1:14" x14ac:dyDescent="0.25">
      <c r="A87" s="7" t="s">
        <v>94</v>
      </c>
      <c r="B87" s="8"/>
      <c r="C87" s="8"/>
      <c r="D87" s="8"/>
      <c r="E87" s="8"/>
      <c r="F87" s="8"/>
      <c r="G87" s="8"/>
      <c r="H87" s="8"/>
      <c r="I87" s="8"/>
      <c r="J87" s="8"/>
      <c r="K87" s="9">
        <f>1250</f>
        <v>1250</v>
      </c>
      <c r="L87" s="8"/>
      <c r="M87" s="8"/>
      <c r="N87" s="9">
        <f t="shared" si="18"/>
        <v>1250</v>
      </c>
    </row>
    <row r="88" spans="1:14" x14ac:dyDescent="0.25">
      <c r="A88" s="7" t="s">
        <v>95</v>
      </c>
      <c r="B88" s="10">
        <f t="shared" ref="B88:M88" si="25">((B85)+(B86))+(B87)</f>
        <v>0</v>
      </c>
      <c r="C88" s="10">
        <f t="shared" si="25"/>
        <v>0</v>
      </c>
      <c r="D88" s="10">
        <f t="shared" si="25"/>
        <v>0</v>
      </c>
      <c r="E88" s="10">
        <f t="shared" si="25"/>
        <v>0</v>
      </c>
      <c r="F88" s="10">
        <f t="shared" si="25"/>
        <v>0</v>
      </c>
      <c r="G88" s="10">
        <f t="shared" si="25"/>
        <v>0</v>
      </c>
      <c r="H88" s="10">
        <f t="shared" si="25"/>
        <v>0</v>
      </c>
      <c r="I88" s="10">
        <f t="shared" si="25"/>
        <v>0</v>
      </c>
      <c r="J88" s="10">
        <f t="shared" si="25"/>
        <v>0</v>
      </c>
      <c r="K88" s="10">
        <f t="shared" si="25"/>
        <v>1250</v>
      </c>
      <c r="L88" s="10">
        <f t="shared" si="25"/>
        <v>565.95000000000005</v>
      </c>
      <c r="M88" s="10">
        <f t="shared" si="25"/>
        <v>0</v>
      </c>
      <c r="N88" s="10">
        <f t="shared" si="18"/>
        <v>1815.95</v>
      </c>
    </row>
    <row r="89" spans="1:14" x14ac:dyDescent="0.25">
      <c r="A89" s="7" t="s">
        <v>96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9">
        <f t="shared" si="18"/>
        <v>0</v>
      </c>
    </row>
    <row r="90" spans="1:14" x14ac:dyDescent="0.25">
      <c r="A90" s="7" t="s">
        <v>97</v>
      </c>
      <c r="B90" s="9">
        <f>600</f>
        <v>600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9">
        <f>2500</f>
        <v>2500</v>
      </c>
      <c r="N90" s="9">
        <f t="shared" si="18"/>
        <v>3100</v>
      </c>
    </row>
    <row r="91" spans="1:14" x14ac:dyDescent="0.25">
      <c r="A91" s="7" t="s">
        <v>98</v>
      </c>
      <c r="B91" s="9">
        <f>700</f>
        <v>700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9">
        <f>2500</f>
        <v>2500</v>
      </c>
      <c r="N91" s="9">
        <f t="shared" si="18"/>
        <v>3200</v>
      </c>
    </row>
    <row r="92" spans="1:14" x14ac:dyDescent="0.25">
      <c r="A92" s="7" t="s">
        <v>99</v>
      </c>
      <c r="B92" s="10">
        <f t="shared" ref="B92:M92" si="26">((B89)+(B90))+(B91)</f>
        <v>1300</v>
      </c>
      <c r="C92" s="10">
        <f t="shared" si="26"/>
        <v>0</v>
      </c>
      <c r="D92" s="10">
        <f t="shared" si="26"/>
        <v>0</v>
      </c>
      <c r="E92" s="10">
        <f t="shared" si="26"/>
        <v>0</v>
      </c>
      <c r="F92" s="10">
        <f t="shared" si="26"/>
        <v>0</v>
      </c>
      <c r="G92" s="10">
        <f t="shared" si="26"/>
        <v>0</v>
      </c>
      <c r="H92" s="10">
        <f t="shared" si="26"/>
        <v>0</v>
      </c>
      <c r="I92" s="10">
        <f t="shared" si="26"/>
        <v>0</v>
      </c>
      <c r="J92" s="10">
        <f t="shared" si="26"/>
        <v>0</v>
      </c>
      <c r="K92" s="10">
        <f t="shared" si="26"/>
        <v>0</v>
      </c>
      <c r="L92" s="10">
        <f t="shared" si="26"/>
        <v>0</v>
      </c>
      <c r="M92" s="10">
        <f t="shared" si="26"/>
        <v>5000</v>
      </c>
      <c r="N92" s="10">
        <f t="shared" si="18"/>
        <v>6300</v>
      </c>
    </row>
    <row r="93" spans="1:14" x14ac:dyDescent="0.25">
      <c r="A93" s="7" t="s">
        <v>100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9">
        <f t="shared" si="18"/>
        <v>0</v>
      </c>
    </row>
    <row r="94" spans="1:14" x14ac:dyDescent="0.25">
      <c r="A94" s="7" t="s">
        <v>101</v>
      </c>
      <c r="B94" s="9">
        <f>955.91</f>
        <v>955.91</v>
      </c>
      <c r="C94" s="9">
        <f>199.32</f>
        <v>199.32</v>
      </c>
      <c r="D94" s="9">
        <f>199.32</f>
        <v>199.32</v>
      </c>
      <c r="E94" s="9">
        <f>203.63</f>
        <v>203.63</v>
      </c>
      <c r="F94" s="9">
        <f>203.63</f>
        <v>203.63</v>
      </c>
      <c r="G94" s="9">
        <f>215.33</f>
        <v>215.33</v>
      </c>
      <c r="H94" s="9">
        <f>215.62</f>
        <v>215.62</v>
      </c>
      <c r="I94" s="9">
        <f>215.48</f>
        <v>215.48</v>
      </c>
      <c r="J94" s="9">
        <f>252.06</f>
        <v>252.06</v>
      </c>
      <c r="K94" s="9">
        <f>256.29</f>
        <v>256.29000000000002</v>
      </c>
      <c r="L94" s="9">
        <f>427.66</f>
        <v>427.66</v>
      </c>
      <c r="M94" s="9">
        <f>345.14</f>
        <v>345.14</v>
      </c>
      <c r="N94" s="9">
        <f t="shared" si="18"/>
        <v>3689.3899999999994</v>
      </c>
    </row>
    <row r="95" spans="1:14" x14ac:dyDescent="0.25">
      <c r="A95" s="7" t="s">
        <v>102</v>
      </c>
      <c r="B95" s="9">
        <f>943.75</f>
        <v>943.75</v>
      </c>
      <c r="C95" s="9">
        <f>199.29</f>
        <v>199.29</v>
      </c>
      <c r="D95" s="9">
        <f>199.29</f>
        <v>199.29</v>
      </c>
      <c r="E95" s="9">
        <f>203.63</f>
        <v>203.63</v>
      </c>
      <c r="F95" s="9">
        <f>203.63</f>
        <v>203.63</v>
      </c>
      <c r="G95" s="9">
        <f>191.93</f>
        <v>191.93</v>
      </c>
      <c r="H95" s="9">
        <f>193.36</f>
        <v>193.36</v>
      </c>
      <c r="I95" s="9">
        <f>193.19</f>
        <v>193.19</v>
      </c>
      <c r="J95" s="9">
        <f>187.76</f>
        <v>187.76</v>
      </c>
      <c r="K95" s="9">
        <f>190.58</f>
        <v>190.58</v>
      </c>
      <c r="L95" s="9">
        <f>304.82</f>
        <v>304.82</v>
      </c>
      <c r="M95" s="9">
        <f>249.79</f>
        <v>249.79</v>
      </c>
      <c r="N95" s="9">
        <f t="shared" si="18"/>
        <v>3261.02</v>
      </c>
    </row>
    <row r="96" spans="1:14" x14ac:dyDescent="0.25">
      <c r="A96" s="7" t="s">
        <v>103</v>
      </c>
      <c r="B96" s="10">
        <f t="shared" ref="B96:M96" si="27">((B93)+(B94))+(B95)</f>
        <v>1899.6599999999999</v>
      </c>
      <c r="C96" s="10">
        <f t="shared" si="27"/>
        <v>398.61</v>
      </c>
      <c r="D96" s="10">
        <f t="shared" si="27"/>
        <v>398.61</v>
      </c>
      <c r="E96" s="10">
        <f t="shared" si="27"/>
        <v>407.26</v>
      </c>
      <c r="F96" s="10">
        <f t="shared" si="27"/>
        <v>407.26</v>
      </c>
      <c r="G96" s="10">
        <f t="shared" si="27"/>
        <v>407.26</v>
      </c>
      <c r="H96" s="10">
        <f t="shared" si="27"/>
        <v>408.98</v>
      </c>
      <c r="I96" s="10">
        <f t="shared" si="27"/>
        <v>408.66999999999996</v>
      </c>
      <c r="J96" s="10">
        <f t="shared" si="27"/>
        <v>439.82</v>
      </c>
      <c r="K96" s="10">
        <f t="shared" si="27"/>
        <v>446.87</v>
      </c>
      <c r="L96" s="10">
        <f t="shared" si="27"/>
        <v>732.48</v>
      </c>
      <c r="M96" s="10">
        <f t="shared" si="27"/>
        <v>594.92999999999995</v>
      </c>
      <c r="N96" s="10">
        <f t="shared" si="18"/>
        <v>6950.4100000000017</v>
      </c>
    </row>
    <row r="97" spans="1:14" x14ac:dyDescent="0.25">
      <c r="A97" s="7" t="s">
        <v>104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>
        <f t="shared" ref="N97:N128" si="28">(((((((((((B97)+(C97))+(D97))+(E97))+(F97))+(G97))+(H97))+(I97))+(J97))+(K97))+(L97))+(M97)</f>
        <v>0</v>
      </c>
    </row>
    <row r="98" spans="1:14" x14ac:dyDescent="0.25">
      <c r="A98" s="7" t="s">
        <v>105</v>
      </c>
      <c r="B98" s="9">
        <f>79.2</f>
        <v>79.2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9">
        <f t="shared" si="28"/>
        <v>79.2</v>
      </c>
    </row>
    <row r="99" spans="1:14" x14ac:dyDescent="0.25">
      <c r="A99" s="7" t="s">
        <v>106</v>
      </c>
      <c r="B99" s="9">
        <f>52.8</f>
        <v>52.8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9">
        <f t="shared" si="28"/>
        <v>52.8</v>
      </c>
    </row>
    <row r="100" spans="1:14" x14ac:dyDescent="0.25">
      <c r="A100" s="7" t="s">
        <v>107</v>
      </c>
      <c r="B100" s="10">
        <f t="shared" ref="B100:M100" si="29">((B97)+(B98))+(B99)</f>
        <v>132</v>
      </c>
      <c r="C100" s="10">
        <f t="shared" si="29"/>
        <v>0</v>
      </c>
      <c r="D100" s="10">
        <f t="shared" si="29"/>
        <v>0</v>
      </c>
      <c r="E100" s="10">
        <f t="shared" si="29"/>
        <v>0</v>
      </c>
      <c r="F100" s="10">
        <f t="shared" si="29"/>
        <v>0</v>
      </c>
      <c r="G100" s="10">
        <f t="shared" si="29"/>
        <v>0</v>
      </c>
      <c r="H100" s="10">
        <f t="shared" si="29"/>
        <v>0</v>
      </c>
      <c r="I100" s="10">
        <f t="shared" si="29"/>
        <v>0</v>
      </c>
      <c r="J100" s="10">
        <f t="shared" si="29"/>
        <v>0</v>
      </c>
      <c r="K100" s="10">
        <f t="shared" si="29"/>
        <v>0</v>
      </c>
      <c r="L100" s="10">
        <f t="shared" si="29"/>
        <v>0</v>
      </c>
      <c r="M100" s="10">
        <f t="shared" si="29"/>
        <v>0</v>
      </c>
      <c r="N100" s="10">
        <f t="shared" si="28"/>
        <v>132</v>
      </c>
    </row>
    <row r="101" spans="1:14" x14ac:dyDescent="0.25">
      <c r="A101" s="7" t="s">
        <v>108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>
        <f t="shared" si="28"/>
        <v>0</v>
      </c>
    </row>
    <row r="102" spans="1:14" x14ac:dyDescent="0.25">
      <c r="A102" s="7" t="s">
        <v>109</v>
      </c>
      <c r="B102" s="9">
        <f>8612.41</f>
        <v>8612.41</v>
      </c>
      <c r="C102" s="8"/>
      <c r="D102" s="9">
        <f>3875</f>
        <v>3875</v>
      </c>
      <c r="E102" s="8"/>
      <c r="F102" s="8"/>
      <c r="G102" s="8"/>
      <c r="H102" s="8"/>
      <c r="I102" s="8"/>
      <c r="J102" s="9">
        <f>811.88</f>
        <v>811.88</v>
      </c>
      <c r="K102" s="9">
        <f>541.25</f>
        <v>541.25</v>
      </c>
      <c r="L102" s="8"/>
      <c r="M102" s="8"/>
      <c r="N102" s="9">
        <f t="shared" si="28"/>
        <v>13840.539999999999</v>
      </c>
    </row>
    <row r="103" spans="1:14" x14ac:dyDescent="0.25">
      <c r="A103" s="7" t="s">
        <v>110</v>
      </c>
      <c r="B103" s="9">
        <f>10631.89</f>
        <v>10631.89</v>
      </c>
      <c r="C103" s="8"/>
      <c r="D103" s="8"/>
      <c r="E103" s="8"/>
      <c r="F103" s="8"/>
      <c r="G103" s="8"/>
      <c r="H103" s="9">
        <f>580</f>
        <v>580</v>
      </c>
      <c r="I103" s="8"/>
      <c r="J103" s="8"/>
      <c r="K103" s="8"/>
      <c r="L103" s="8"/>
      <c r="M103" s="8"/>
      <c r="N103" s="9">
        <f t="shared" si="28"/>
        <v>11211.89</v>
      </c>
    </row>
    <row r="104" spans="1:14" x14ac:dyDescent="0.25">
      <c r="A104" s="7" t="s">
        <v>111</v>
      </c>
      <c r="B104" s="10">
        <f t="shared" ref="B104:M104" si="30">((B101)+(B102))+(B103)</f>
        <v>19244.3</v>
      </c>
      <c r="C104" s="10">
        <f t="shared" si="30"/>
        <v>0</v>
      </c>
      <c r="D104" s="10">
        <f t="shared" si="30"/>
        <v>3875</v>
      </c>
      <c r="E104" s="10">
        <f t="shared" si="30"/>
        <v>0</v>
      </c>
      <c r="F104" s="10">
        <f t="shared" si="30"/>
        <v>0</v>
      </c>
      <c r="G104" s="10">
        <f t="shared" si="30"/>
        <v>0</v>
      </c>
      <c r="H104" s="10">
        <f t="shared" si="30"/>
        <v>580</v>
      </c>
      <c r="I104" s="10">
        <f t="shared" si="30"/>
        <v>0</v>
      </c>
      <c r="J104" s="10">
        <f t="shared" si="30"/>
        <v>811.88</v>
      </c>
      <c r="K104" s="10">
        <f t="shared" si="30"/>
        <v>541.25</v>
      </c>
      <c r="L104" s="10">
        <f t="shared" si="30"/>
        <v>0</v>
      </c>
      <c r="M104" s="10">
        <f t="shared" si="30"/>
        <v>0</v>
      </c>
      <c r="N104" s="10">
        <f t="shared" si="28"/>
        <v>25052.43</v>
      </c>
    </row>
    <row r="105" spans="1:14" x14ac:dyDescent="0.25">
      <c r="A105" s="7" t="s">
        <v>112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>
        <f t="shared" si="28"/>
        <v>0</v>
      </c>
    </row>
    <row r="106" spans="1:14" x14ac:dyDescent="0.25">
      <c r="A106" s="7" t="s">
        <v>113</v>
      </c>
      <c r="B106" s="9">
        <f>12632.59</f>
        <v>12632.59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>
        <f t="shared" si="28"/>
        <v>12632.59</v>
      </c>
    </row>
    <row r="107" spans="1:14" x14ac:dyDescent="0.25">
      <c r="A107" s="7" t="s">
        <v>114</v>
      </c>
      <c r="B107" s="9">
        <f>4751</f>
        <v>4751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>
        <f t="shared" si="28"/>
        <v>4751</v>
      </c>
    </row>
    <row r="108" spans="1:14" x14ac:dyDescent="0.25">
      <c r="A108" s="7" t="s">
        <v>115</v>
      </c>
      <c r="B108" s="10">
        <f t="shared" ref="B108:M108" si="31">((B105)+(B106))+(B107)</f>
        <v>17383.59</v>
      </c>
      <c r="C108" s="10">
        <f t="shared" si="31"/>
        <v>0</v>
      </c>
      <c r="D108" s="10">
        <f t="shared" si="31"/>
        <v>0</v>
      </c>
      <c r="E108" s="10">
        <f t="shared" si="31"/>
        <v>0</v>
      </c>
      <c r="F108" s="10">
        <f t="shared" si="31"/>
        <v>0</v>
      </c>
      <c r="G108" s="10">
        <f t="shared" si="31"/>
        <v>0</v>
      </c>
      <c r="H108" s="10">
        <f t="shared" si="31"/>
        <v>0</v>
      </c>
      <c r="I108" s="10">
        <f t="shared" si="31"/>
        <v>0</v>
      </c>
      <c r="J108" s="10">
        <f t="shared" si="31"/>
        <v>0</v>
      </c>
      <c r="K108" s="10">
        <f t="shared" si="31"/>
        <v>0</v>
      </c>
      <c r="L108" s="10">
        <f t="shared" si="31"/>
        <v>0</v>
      </c>
      <c r="M108" s="10">
        <f t="shared" si="31"/>
        <v>0</v>
      </c>
      <c r="N108" s="10">
        <f t="shared" si="28"/>
        <v>17383.59</v>
      </c>
    </row>
    <row r="109" spans="1:14" x14ac:dyDescent="0.25">
      <c r="A109" s="7" t="s">
        <v>116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>
        <f t="shared" si="28"/>
        <v>0</v>
      </c>
    </row>
    <row r="110" spans="1:14" x14ac:dyDescent="0.25">
      <c r="A110" s="7" t="s">
        <v>117</v>
      </c>
      <c r="B110" s="8"/>
      <c r="C110" s="8"/>
      <c r="D110" s="8"/>
      <c r="E110" s="8"/>
      <c r="F110" s="8"/>
      <c r="G110" s="9">
        <f>126.55</f>
        <v>126.55</v>
      </c>
      <c r="H110" s="8"/>
      <c r="I110" s="9">
        <f>46.98</f>
        <v>46.98</v>
      </c>
      <c r="J110" s="8"/>
      <c r="K110" s="8"/>
      <c r="L110" s="8"/>
      <c r="M110" s="8"/>
      <c r="N110" s="9">
        <f t="shared" si="28"/>
        <v>173.53</v>
      </c>
    </row>
    <row r="111" spans="1:14" x14ac:dyDescent="0.25">
      <c r="A111" s="7" t="s">
        <v>118</v>
      </c>
      <c r="B111" s="8"/>
      <c r="C111" s="8"/>
      <c r="D111" s="8"/>
      <c r="E111" s="8"/>
      <c r="F111" s="8"/>
      <c r="G111" s="9">
        <f>84.37</f>
        <v>84.37</v>
      </c>
      <c r="H111" s="8"/>
      <c r="I111" s="9">
        <f>31.32</f>
        <v>31.32</v>
      </c>
      <c r="J111" s="8"/>
      <c r="K111" s="8"/>
      <c r="L111" s="8"/>
      <c r="M111" s="8"/>
      <c r="N111" s="9">
        <f t="shared" si="28"/>
        <v>115.69</v>
      </c>
    </row>
    <row r="112" spans="1:14" x14ac:dyDescent="0.25">
      <c r="A112" s="7" t="s">
        <v>119</v>
      </c>
      <c r="B112" s="10">
        <f t="shared" ref="B112:M112" si="32">((B109)+(B110))+(B111)</f>
        <v>0</v>
      </c>
      <c r="C112" s="10">
        <f t="shared" si="32"/>
        <v>0</v>
      </c>
      <c r="D112" s="10">
        <f t="shared" si="32"/>
        <v>0</v>
      </c>
      <c r="E112" s="10">
        <f t="shared" si="32"/>
        <v>0</v>
      </c>
      <c r="F112" s="10">
        <f t="shared" si="32"/>
        <v>0</v>
      </c>
      <c r="G112" s="10">
        <f t="shared" si="32"/>
        <v>210.92000000000002</v>
      </c>
      <c r="H112" s="10">
        <f t="shared" si="32"/>
        <v>0</v>
      </c>
      <c r="I112" s="10">
        <f t="shared" si="32"/>
        <v>78.3</v>
      </c>
      <c r="J112" s="10">
        <f t="shared" si="32"/>
        <v>0</v>
      </c>
      <c r="K112" s="10">
        <f t="shared" si="32"/>
        <v>0</v>
      </c>
      <c r="L112" s="10">
        <f t="shared" si="32"/>
        <v>0</v>
      </c>
      <c r="M112" s="10">
        <f t="shared" si="32"/>
        <v>0</v>
      </c>
      <c r="N112" s="10">
        <f t="shared" si="28"/>
        <v>289.22000000000003</v>
      </c>
    </row>
    <row r="113" spans="1:14" x14ac:dyDescent="0.25">
      <c r="A113" s="7" t="s">
        <v>120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9">
        <f>546</f>
        <v>546</v>
      </c>
      <c r="N113" s="9">
        <f t="shared" si="28"/>
        <v>546</v>
      </c>
    </row>
    <row r="114" spans="1:14" x14ac:dyDescent="0.25">
      <c r="A114" s="7" t="s">
        <v>121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>
        <f t="shared" si="28"/>
        <v>0</v>
      </c>
    </row>
    <row r="115" spans="1:14" x14ac:dyDescent="0.25">
      <c r="A115" s="7" t="s">
        <v>122</v>
      </c>
      <c r="B115" s="9">
        <f>1245.25</f>
        <v>1245.25</v>
      </c>
      <c r="C115" s="9">
        <f>1245.55</f>
        <v>1245.55</v>
      </c>
      <c r="D115" s="9">
        <f>1245.16</f>
        <v>1245.1600000000001</v>
      </c>
      <c r="E115" s="9">
        <f>1245.86</f>
        <v>1245.8599999999999</v>
      </c>
      <c r="F115" s="9">
        <f>3552.5</f>
        <v>3552.5</v>
      </c>
      <c r="G115" s="9">
        <f>3488.45</f>
        <v>3488.45</v>
      </c>
      <c r="H115" s="9">
        <f>1750.43</f>
        <v>1750.43</v>
      </c>
      <c r="I115" s="9">
        <f>3573.34</f>
        <v>3573.34</v>
      </c>
      <c r="J115" s="8"/>
      <c r="K115" s="9">
        <f>3491.01</f>
        <v>3491.01</v>
      </c>
      <c r="L115" s="9">
        <f>1719.95</f>
        <v>1719.95</v>
      </c>
      <c r="M115" s="9">
        <f>1707.72</f>
        <v>1707.72</v>
      </c>
      <c r="N115" s="9">
        <f t="shared" si="28"/>
        <v>24265.220000000005</v>
      </c>
    </row>
    <row r="116" spans="1:14" x14ac:dyDescent="0.25">
      <c r="A116" s="7" t="s">
        <v>123</v>
      </c>
      <c r="B116" s="9">
        <f>639.31</f>
        <v>639.30999999999995</v>
      </c>
      <c r="C116" s="9">
        <f>639.31</f>
        <v>639.30999999999995</v>
      </c>
      <c r="D116" s="9">
        <f>639.31</f>
        <v>639.30999999999995</v>
      </c>
      <c r="E116" s="9">
        <f>639.31</f>
        <v>639.30999999999995</v>
      </c>
      <c r="F116" s="9">
        <f>208.59</f>
        <v>208.59</v>
      </c>
      <c r="G116" s="9">
        <f>204.81</f>
        <v>204.81</v>
      </c>
      <c r="H116" s="9">
        <f>102.79</f>
        <v>102.79</v>
      </c>
      <c r="I116" s="9">
        <f>209.7</f>
        <v>209.7</v>
      </c>
      <c r="J116" s="8"/>
      <c r="K116" s="9">
        <f>204.78</f>
        <v>204.78</v>
      </c>
      <c r="L116" s="9">
        <f>100.91</f>
        <v>100.91</v>
      </c>
      <c r="M116" s="9">
        <f>100.15</f>
        <v>100.15</v>
      </c>
      <c r="N116" s="9">
        <f t="shared" si="28"/>
        <v>3688.97</v>
      </c>
    </row>
    <row r="117" spans="1:14" x14ac:dyDescent="0.25">
      <c r="A117" s="7" t="s">
        <v>124</v>
      </c>
      <c r="B117" s="10">
        <f t="shared" ref="B117:M117" si="33">((B114)+(B115))+(B116)</f>
        <v>1884.56</v>
      </c>
      <c r="C117" s="10">
        <f t="shared" si="33"/>
        <v>1884.86</v>
      </c>
      <c r="D117" s="10">
        <f t="shared" si="33"/>
        <v>1884.47</v>
      </c>
      <c r="E117" s="10">
        <f t="shared" si="33"/>
        <v>1885.1699999999998</v>
      </c>
      <c r="F117" s="10">
        <f t="shared" si="33"/>
        <v>3761.09</v>
      </c>
      <c r="G117" s="10">
        <f t="shared" si="33"/>
        <v>3693.2599999999998</v>
      </c>
      <c r="H117" s="10">
        <f t="shared" si="33"/>
        <v>1853.22</v>
      </c>
      <c r="I117" s="10">
        <f t="shared" si="33"/>
        <v>3783.04</v>
      </c>
      <c r="J117" s="10">
        <f t="shared" si="33"/>
        <v>0</v>
      </c>
      <c r="K117" s="10">
        <f t="shared" si="33"/>
        <v>3695.7900000000004</v>
      </c>
      <c r="L117" s="10">
        <f t="shared" si="33"/>
        <v>1820.8600000000001</v>
      </c>
      <c r="M117" s="10">
        <f t="shared" si="33"/>
        <v>1807.8700000000001</v>
      </c>
      <c r="N117" s="10">
        <f t="shared" si="28"/>
        <v>27954.190000000002</v>
      </c>
    </row>
    <row r="118" spans="1:14" x14ac:dyDescent="0.25">
      <c r="A118" s="7" t="s">
        <v>125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>
        <f t="shared" si="28"/>
        <v>0</v>
      </c>
    </row>
    <row r="119" spans="1:14" x14ac:dyDescent="0.25">
      <c r="A119" s="7" t="s">
        <v>126</v>
      </c>
      <c r="B119" s="8"/>
      <c r="C119" s="8"/>
      <c r="D119" s="8"/>
      <c r="E119" s="9">
        <f>75</f>
        <v>75</v>
      </c>
      <c r="F119" s="8"/>
      <c r="G119" s="9">
        <f>600</f>
        <v>600</v>
      </c>
      <c r="H119" s="8"/>
      <c r="I119" s="8"/>
      <c r="J119" s="8"/>
      <c r="K119" s="8"/>
      <c r="L119" s="8"/>
      <c r="M119" s="9">
        <f>48</f>
        <v>48</v>
      </c>
      <c r="N119" s="9">
        <f t="shared" si="28"/>
        <v>723</v>
      </c>
    </row>
    <row r="120" spans="1:14" x14ac:dyDescent="0.25">
      <c r="A120" s="7" t="s">
        <v>127</v>
      </c>
      <c r="B120" s="8"/>
      <c r="C120" s="8"/>
      <c r="D120" s="8"/>
      <c r="E120" s="9">
        <f>50</f>
        <v>50</v>
      </c>
      <c r="F120" s="8"/>
      <c r="G120" s="9">
        <f>400</f>
        <v>400</v>
      </c>
      <c r="H120" s="8"/>
      <c r="I120" s="8"/>
      <c r="J120" s="8"/>
      <c r="K120" s="8"/>
      <c r="L120" s="8"/>
      <c r="M120" s="9">
        <f>32</f>
        <v>32</v>
      </c>
      <c r="N120" s="9">
        <f t="shared" si="28"/>
        <v>482</v>
      </c>
    </row>
    <row r="121" spans="1:14" x14ac:dyDescent="0.25">
      <c r="A121" s="7" t="s">
        <v>128</v>
      </c>
      <c r="B121" s="10">
        <f t="shared" ref="B121:M121" si="34">((B118)+(B119))+(B120)</f>
        <v>0</v>
      </c>
      <c r="C121" s="10">
        <f t="shared" si="34"/>
        <v>0</v>
      </c>
      <c r="D121" s="10">
        <f t="shared" si="34"/>
        <v>0</v>
      </c>
      <c r="E121" s="10">
        <f t="shared" si="34"/>
        <v>125</v>
      </c>
      <c r="F121" s="10">
        <f t="shared" si="34"/>
        <v>0</v>
      </c>
      <c r="G121" s="10">
        <f t="shared" si="34"/>
        <v>1000</v>
      </c>
      <c r="H121" s="10">
        <f t="shared" si="34"/>
        <v>0</v>
      </c>
      <c r="I121" s="10">
        <f t="shared" si="34"/>
        <v>0</v>
      </c>
      <c r="J121" s="10">
        <f t="shared" si="34"/>
        <v>0</v>
      </c>
      <c r="K121" s="10">
        <f t="shared" si="34"/>
        <v>0</v>
      </c>
      <c r="L121" s="10">
        <f t="shared" si="34"/>
        <v>0</v>
      </c>
      <c r="M121" s="10">
        <f t="shared" si="34"/>
        <v>80</v>
      </c>
      <c r="N121" s="10">
        <f t="shared" si="28"/>
        <v>1205</v>
      </c>
    </row>
    <row r="122" spans="1:14" x14ac:dyDescent="0.25">
      <c r="A122" s="7" t="s">
        <v>129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9">
        <f>2200</f>
        <v>2200</v>
      </c>
      <c r="N122" s="9">
        <f t="shared" si="28"/>
        <v>2200</v>
      </c>
    </row>
    <row r="123" spans="1:14" x14ac:dyDescent="0.25">
      <c r="A123" s="7" t="s">
        <v>130</v>
      </c>
      <c r="B123" s="10">
        <f t="shared" ref="B123:M123" si="35">(((((((((((((((B68)+(B72))+(B76))+(B80))+(B84))+(B88))+(B92))+(B96))+(B100))+(B104))+(B108))+(B112))+(B113))+(B117))+(B121))+(B122)</f>
        <v>46289.849999999991</v>
      </c>
      <c r="C123" s="10">
        <f t="shared" si="35"/>
        <v>2366.71</v>
      </c>
      <c r="D123" s="10">
        <f t="shared" si="35"/>
        <v>14759.92</v>
      </c>
      <c r="E123" s="10">
        <f t="shared" si="35"/>
        <v>23915.919999999998</v>
      </c>
      <c r="F123" s="10">
        <f t="shared" si="35"/>
        <v>30511.200000000001</v>
      </c>
      <c r="G123" s="10">
        <f t="shared" si="35"/>
        <v>34072.080000000002</v>
      </c>
      <c r="H123" s="10">
        <f t="shared" si="35"/>
        <v>37470.83</v>
      </c>
      <c r="I123" s="10">
        <f t="shared" si="35"/>
        <v>35856.939999999995</v>
      </c>
      <c r="J123" s="10">
        <f t="shared" si="35"/>
        <v>12277.839999999998</v>
      </c>
      <c r="K123" s="10">
        <f t="shared" si="35"/>
        <v>20379.270000000004</v>
      </c>
      <c r="L123" s="10">
        <f t="shared" si="35"/>
        <v>35209.780000000006</v>
      </c>
      <c r="M123" s="10">
        <f t="shared" si="35"/>
        <v>33299.050000000003</v>
      </c>
      <c r="N123" s="10">
        <f t="shared" si="28"/>
        <v>326409.39</v>
      </c>
    </row>
    <row r="124" spans="1:14" x14ac:dyDescent="0.25">
      <c r="A124" s="7" t="s">
        <v>131</v>
      </c>
      <c r="B124" s="10">
        <f t="shared" ref="B124:M124" si="36">(B63)-(B123)</f>
        <v>28941.539999999994</v>
      </c>
      <c r="C124" s="10">
        <f t="shared" si="36"/>
        <v>-35798.53</v>
      </c>
      <c r="D124" s="10">
        <f t="shared" si="36"/>
        <v>34550.620000000003</v>
      </c>
      <c r="E124" s="10">
        <f t="shared" si="36"/>
        <v>12636.590000000011</v>
      </c>
      <c r="F124" s="10">
        <f t="shared" si="36"/>
        <v>-8476.5299999999952</v>
      </c>
      <c r="G124" s="10">
        <f t="shared" si="36"/>
        <v>-74213.359999999986</v>
      </c>
      <c r="H124" s="10">
        <f t="shared" si="36"/>
        <v>-16255.689999999999</v>
      </c>
      <c r="I124" s="10">
        <f t="shared" si="36"/>
        <v>-33948.609999999986</v>
      </c>
      <c r="J124" s="10">
        <f t="shared" si="36"/>
        <v>5713.9499999999989</v>
      </c>
      <c r="K124" s="10">
        <f t="shared" si="36"/>
        <v>-98495.450000000012</v>
      </c>
      <c r="L124" s="10">
        <f t="shared" si="36"/>
        <v>-14275.990000000005</v>
      </c>
      <c r="M124" s="10">
        <f t="shared" si="36"/>
        <v>-5404.8999999999942</v>
      </c>
      <c r="N124" s="10">
        <f t="shared" si="28"/>
        <v>-205026.35999999996</v>
      </c>
    </row>
    <row r="125" spans="1:14" x14ac:dyDescent="0.25">
      <c r="A125" s="7" t="s">
        <v>132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x14ac:dyDescent="0.25">
      <c r="A126" s="7" t="s">
        <v>133</v>
      </c>
      <c r="B126" s="9">
        <f>205.63</f>
        <v>205.63</v>
      </c>
      <c r="C126" s="9">
        <f>192.57</f>
        <v>192.57</v>
      </c>
      <c r="D126" s="9">
        <f>3558.01</f>
        <v>3558.01</v>
      </c>
      <c r="E126" s="8"/>
      <c r="F126" s="8"/>
      <c r="G126" s="8"/>
      <c r="H126" s="8"/>
      <c r="I126" s="8"/>
      <c r="J126" s="8"/>
      <c r="K126" s="8"/>
      <c r="L126" s="8"/>
      <c r="M126" s="8"/>
      <c r="N126" s="9">
        <f t="shared" ref="N126:N133" si="37">(((((((((((B126)+(C126))+(D126))+(E126))+(F126))+(G126))+(H126))+(I126))+(J126))+(K126))+(L126))+(M126)</f>
        <v>3956.21</v>
      </c>
    </row>
    <row r="127" spans="1:14" x14ac:dyDescent="0.25">
      <c r="A127" s="7" t="s">
        <v>134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9">
        <f t="shared" si="37"/>
        <v>0</v>
      </c>
    </row>
    <row r="128" spans="1:14" x14ac:dyDescent="0.25">
      <c r="A128" s="7" t="s">
        <v>135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9">
        <f>276</f>
        <v>276</v>
      </c>
      <c r="N128" s="9">
        <f t="shared" si="37"/>
        <v>276</v>
      </c>
    </row>
    <row r="129" spans="1:14" x14ac:dyDescent="0.25">
      <c r="A129" s="7" t="s">
        <v>136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9">
        <f>264</f>
        <v>264</v>
      </c>
      <c r="N129" s="9">
        <f t="shared" si="37"/>
        <v>264</v>
      </c>
    </row>
    <row r="130" spans="1:14" x14ac:dyDescent="0.25">
      <c r="A130" s="7" t="s">
        <v>137</v>
      </c>
      <c r="B130" s="10">
        <f t="shared" ref="B130:M130" si="38">((B127)+(B128))+(B129)</f>
        <v>0</v>
      </c>
      <c r="C130" s="10">
        <f t="shared" si="38"/>
        <v>0</v>
      </c>
      <c r="D130" s="10">
        <f t="shared" si="38"/>
        <v>0</v>
      </c>
      <c r="E130" s="10">
        <f t="shared" si="38"/>
        <v>0</v>
      </c>
      <c r="F130" s="10">
        <f t="shared" si="38"/>
        <v>0</v>
      </c>
      <c r="G130" s="10">
        <f t="shared" si="38"/>
        <v>0</v>
      </c>
      <c r="H130" s="10">
        <f t="shared" si="38"/>
        <v>0</v>
      </c>
      <c r="I130" s="10">
        <f t="shared" si="38"/>
        <v>0</v>
      </c>
      <c r="J130" s="10">
        <f t="shared" si="38"/>
        <v>0</v>
      </c>
      <c r="K130" s="10">
        <f t="shared" si="38"/>
        <v>0</v>
      </c>
      <c r="L130" s="10">
        <f t="shared" si="38"/>
        <v>0</v>
      </c>
      <c r="M130" s="10">
        <f t="shared" si="38"/>
        <v>540</v>
      </c>
      <c r="N130" s="10">
        <f t="shared" si="37"/>
        <v>540</v>
      </c>
    </row>
    <row r="131" spans="1:14" x14ac:dyDescent="0.25">
      <c r="A131" s="7" t="s">
        <v>138</v>
      </c>
      <c r="B131" s="10">
        <f t="shared" ref="B131:M131" si="39">(B126)+(B130)</f>
        <v>205.63</v>
      </c>
      <c r="C131" s="10">
        <f t="shared" si="39"/>
        <v>192.57</v>
      </c>
      <c r="D131" s="10">
        <f t="shared" si="39"/>
        <v>3558.01</v>
      </c>
      <c r="E131" s="10">
        <f t="shared" si="39"/>
        <v>0</v>
      </c>
      <c r="F131" s="10">
        <f t="shared" si="39"/>
        <v>0</v>
      </c>
      <c r="G131" s="10">
        <f t="shared" si="39"/>
        <v>0</v>
      </c>
      <c r="H131" s="10">
        <f t="shared" si="39"/>
        <v>0</v>
      </c>
      <c r="I131" s="10">
        <f t="shared" si="39"/>
        <v>0</v>
      </c>
      <c r="J131" s="10">
        <f t="shared" si="39"/>
        <v>0</v>
      </c>
      <c r="K131" s="10">
        <f t="shared" si="39"/>
        <v>0</v>
      </c>
      <c r="L131" s="10">
        <f t="shared" si="39"/>
        <v>0</v>
      </c>
      <c r="M131" s="10">
        <f t="shared" si="39"/>
        <v>540</v>
      </c>
      <c r="N131" s="10">
        <f t="shared" si="37"/>
        <v>4496.21</v>
      </c>
    </row>
    <row r="132" spans="1:14" x14ac:dyDescent="0.25">
      <c r="A132" s="7" t="s">
        <v>139</v>
      </c>
      <c r="B132" s="10">
        <f t="shared" ref="B132:M132" si="40">(B131)-(0)</f>
        <v>205.63</v>
      </c>
      <c r="C132" s="10">
        <f t="shared" si="40"/>
        <v>192.57</v>
      </c>
      <c r="D132" s="10">
        <f t="shared" si="40"/>
        <v>3558.01</v>
      </c>
      <c r="E132" s="10">
        <f t="shared" si="40"/>
        <v>0</v>
      </c>
      <c r="F132" s="10">
        <f t="shared" si="40"/>
        <v>0</v>
      </c>
      <c r="G132" s="10">
        <f t="shared" si="40"/>
        <v>0</v>
      </c>
      <c r="H132" s="10">
        <f t="shared" si="40"/>
        <v>0</v>
      </c>
      <c r="I132" s="10">
        <f t="shared" si="40"/>
        <v>0</v>
      </c>
      <c r="J132" s="10">
        <f t="shared" si="40"/>
        <v>0</v>
      </c>
      <c r="K132" s="10">
        <f t="shared" si="40"/>
        <v>0</v>
      </c>
      <c r="L132" s="10">
        <f t="shared" si="40"/>
        <v>0</v>
      </c>
      <c r="M132" s="10">
        <f t="shared" si="40"/>
        <v>540</v>
      </c>
      <c r="N132" s="10">
        <f t="shared" si="37"/>
        <v>4496.21</v>
      </c>
    </row>
    <row r="133" spans="1:14" x14ac:dyDescent="0.25">
      <c r="A133" s="7" t="s">
        <v>140</v>
      </c>
      <c r="B133" s="11">
        <f t="shared" ref="B133:M133" si="41">(B124)+(B132)</f>
        <v>29147.169999999995</v>
      </c>
      <c r="C133" s="11">
        <f t="shared" si="41"/>
        <v>-35605.96</v>
      </c>
      <c r="D133" s="11">
        <f t="shared" si="41"/>
        <v>38108.630000000005</v>
      </c>
      <c r="E133" s="11">
        <f t="shared" si="41"/>
        <v>12636.590000000011</v>
      </c>
      <c r="F133" s="11">
        <f t="shared" si="41"/>
        <v>-8476.5299999999952</v>
      </c>
      <c r="G133" s="11">
        <f t="shared" si="41"/>
        <v>-74213.359999999986</v>
      </c>
      <c r="H133" s="11">
        <f t="shared" si="41"/>
        <v>-16255.689999999999</v>
      </c>
      <c r="I133" s="11">
        <f t="shared" si="41"/>
        <v>-33948.609999999986</v>
      </c>
      <c r="J133" s="11">
        <f t="shared" si="41"/>
        <v>5713.9499999999989</v>
      </c>
      <c r="K133" s="11">
        <f t="shared" si="41"/>
        <v>-98495.450000000012</v>
      </c>
      <c r="L133" s="11">
        <f t="shared" si="41"/>
        <v>-14275.990000000005</v>
      </c>
      <c r="M133" s="11">
        <f t="shared" si="41"/>
        <v>-4864.8999999999942</v>
      </c>
      <c r="N133" s="11">
        <f t="shared" si="37"/>
        <v>-200530.15</v>
      </c>
    </row>
    <row r="134" spans="1:14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12" t="s">
        <v>141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</sheetData>
  <mergeCells count="4">
    <mergeCell ref="A137:N137"/>
    <mergeCell ref="A1:N1"/>
    <mergeCell ref="A2:N2"/>
    <mergeCell ref="A3:N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2025-01-08T21:43:03Z</dcterms:created>
  <dcterms:modified xsi:type="dcterms:W3CDTF">2025-01-08T21:44:36Z</dcterms:modified>
</cp:coreProperties>
</file>