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a\Desktop\"/>
    </mc:Choice>
  </mc:AlternateContent>
  <xr:revisionPtr revIDLastSave="0" documentId="13_ncr:1_{8F8EF504-0C25-4A0D-B330-3F80D881B719}" xr6:coauthVersionLast="47" xr6:coauthVersionMax="47" xr10:uidLastSave="{00000000-0000-0000-0000-000000000000}"/>
  <bookViews>
    <workbookView xWindow="2730" yWindow="1140" windowWidth="21420" windowHeight="15060" xr2:uid="{00000000-000D-0000-FFFF-FFFF00000000}"/>
  </bookViews>
  <sheets>
    <sheet name="Profit and Loss by Month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4" i="1" l="1"/>
  <c r="E164" i="1"/>
  <c r="D164" i="1"/>
  <c r="C164" i="1"/>
  <c r="M163" i="1"/>
  <c r="L163" i="1"/>
  <c r="L164" i="1" s="1"/>
  <c r="K163" i="1"/>
  <c r="K164" i="1" s="1"/>
  <c r="J163" i="1"/>
  <c r="J164" i="1" s="1"/>
  <c r="I163" i="1"/>
  <c r="I164" i="1" s="1"/>
  <c r="H163" i="1"/>
  <c r="H164" i="1" s="1"/>
  <c r="H165" i="1" s="1"/>
  <c r="G163" i="1"/>
  <c r="G164" i="1" s="1"/>
  <c r="G165" i="1" s="1"/>
  <c r="F163" i="1"/>
  <c r="F164" i="1" s="1"/>
  <c r="F165" i="1" s="1"/>
  <c r="E163" i="1"/>
  <c r="D163" i="1"/>
  <c r="C163" i="1"/>
  <c r="B163" i="1"/>
  <c r="M161" i="1"/>
  <c r="M165" i="1" s="1"/>
  <c r="I161" i="1"/>
  <c r="H161" i="1"/>
  <c r="G161" i="1"/>
  <c r="F161" i="1"/>
  <c r="E161" i="1"/>
  <c r="D161" i="1"/>
  <c r="D165" i="1" s="1"/>
  <c r="C161" i="1"/>
  <c r="C165" i="1" s="1"/>
  <c r="M160" i="1"/>
  <c r="L160" i="1"/>
  <c r="L161" i="1" s="1"/>
  <c r="L165" i="1" s="1"/>
  <c r="K160" i="1"/>
  <c r="K161" i="1" s="1"/>
  <c r="J160" i="1"/>
  <c r="J161" i="1" s="1"/>
  <c r="I160" i="1"/>
  <c r="H160" i="1"/>
  <c r="F160" i="1"/>
  <c r="E160" i="1"/>
  <c r="C160" i="1"/>
  <c r="B160" i="1"/>
  <c r="J156" i="1"/>
  <c r="H156" i="1"/>
  <c r="G156" i="1"/>
  <c r="F156" i="1"/>
  <c r="E156" i="1"/>
  <c r="B156" i="1"/>
  <c r="N155" i="1"/>
  <c r="M155" i="1"/>
  <c r="L155" i="1"/>
  <c r="K155" i="1"/>
  <c r="F155" i="1"/>
  <c r="D155" i="1"/>
  <c r="C155" i="1"/>
  <c r="M154" i="1"/>
  <c r="M156" i="1" s="1"/>
  <c r="L154" i="1"/>
  <c r="L156" i="1" s="1"/>
  <c r="K154" i="1"/>
  <c r="K156" i="1" s="1"/>
  <c r="I154" i="1"/>
  <c r="I156" i="1" s="1"/>
  <c r="F154" i="1"/>
  <c r="N154" i="1" s="1"/>
  <c r="D154" i="1"/>
  <c r="D156" i="1" s="1"/>
  <c r="C154" i="1"/>
  <c r="C156" i="1" s="1"/>
  <c r="N153" i="1"/>
  <c r="B152" i="1"/>
  <c r="M151" i="1"/>
  <c r="L151" i="1"/>
  <c r="K151" i="1"/>
  <c r="K152" i="1" s="1"/>
  <c r="J151" i="1"/>
  <c r="J152" i="1" s="1"/>
  <c r="I151" i="1"/>
  <c r="I152" i="1" s="1"/>
  <c r="H151" i="1"/>
  <c r="G151" i="1"/>
  <c r="F151" i="1"/>
  <c r="E151" i="1"/>
  <c r="E152" i="1" s="1"/>
  <c r="D151" i="1"/>
  <c r="D152" i="1" s="1"/>
  <c r="C151" i="1"/>
  <c r="C152" i="1" s="1"/>
  <c r="B151" i="1"/>
  <c r="M150" i="1"/>
  <c r="M152" i="1" s="1"/>
  <c r="L150" i="1"/>
  <c r="L152" i="1" s="1"/>
  <c r="K150" i="1"/>
  <c r="J150" i="1"/>
  <c r="I150" i="1"/>
  <c r="H150" i="1"/>
  <c r="H152" i="1" s="1"/>
  <c r="G150" i="1"/>
  <c r="G152" i="1" s="1"/>
  <c r="F150" i="1"/>
  <c r="F152" i="1" s="1"/>
  <c r="E150" i="1"/>
  <c r="D150" i="1"/>
  <c r="C150" i="1"/>
  <c r="B150" i="1"/>
  <c r="N150" i="1" s="1"/>
  <c r="N149" i="1"/>
  <c r="L148" i="1"/>
  <c r="K148" i="1"/>
  <c r="J148" i="1"/>
  <c r="H148" i="1"/>
  <c r="G148" i="1"/>
  <c r="F148" i="1"/>
  <c r="E148" i="1"/>
  <c r="D148" i="1"/>
  <c r="C148" i="1"/>
  <c r="B148" i="1"/>
  <c r="M147" i="1"/>
  <c r="I147" i="1"/>
  <c r="E147" i="1"/>
  <c r="D147" i="1"/>
  <c r="N147" i="1" s="1"/>
  <c r="M146" i="1"/>
  <c r="M148" i="1" s="1"/>
  <c r="I146" i="1"/>
  <c r="I148" i="1" s="1"/>
  <c r="E146" i="1"/>
  <c r="D146" i="1"/>
  <c r="N145" i="1"/>
  <c r="L144" i="1"/>
  <c r="I144" i="1"/>
  <c r="H144" i="1"/>
  <c r="E144" i="1"/>
  <c r="D144" i="1"/>
  <c r="C144" i="1"/>
  <c r="B144" i="1"/>
  <c r="M143" i="1"/>
  <c r="I143" i="1"/>
  <c r="H143" i="1"/>
  <c r="G143" i="1"/>
  <c r="F143" i="1"/>
  <c r="D143" i="1"/>
  <c r="N143" i="1" s="1"/>
  <c r="M142" i="1"/>
  <c r="M144" i="1" s="1"/>
  <c r="L142" i="1"/>
  <c r="K142" i="1"/>
  <c r="K144" i="1" s="1"/>
  <c r="J142" i="1"/>
  <c r="J144" i="1" s="1"/>
  <c r="I142" i="1"/>
  <c r="H142" i="1"/>
  <c r="G142" i="1"/>
  <c r="G144" i="1" s="1"/>
  <c r="F142" i="1"/>
  <c r="B142" i="1"/>
  <c r="N141" i="1"/>
  <c r="K140" i="1"/>
  <c r="N140" i="1" s="1"/>
  <c r="I139" i="1"/>
  <c r="H139" i="1"/>
  <c r="G139" i="1"/>
  <c r="F139" i="1"/>
  <c r="E139" i="1"/>
  <c r="D139" i="1"/>
  <c r="M138" i="1"/>
  <c r="L138" i="1"/>
  <c r="L139" i="1" s="1"/>
  <c r="K138" i="1"/>
  <c r="K139" i="1" s="1"/>
  <c r="J138" i="1"/>
  <c r="J139" i="1" s="1"/>
  <c r="I138" i="1"/>
  <c r="H138" i="1"/>
  <c r="G138" i="1"/>
  <c r="F138" i="1"/>
  <c r="E138" i="1"/>
  <c r="D138" i="1"/>
  <c r="C138" i="1"/>
  <c r="B138" i="1"/>
  <c r="N138" i="1" s="1"/>
  <c r="M137" i="1"/>
  <c r="M139" i="1" s="1"/>
  <c r="L137" i="1"/>
  <c r="K137" i="1"/>
  <c r="J137" i="1"/>
  <c r="I137" i="1"/>
  <c r="H137" i="1"/>
  <c r="G137" i="1"/>
  <c r="F137" i="1"/>
  <c r="E137" i="1"/>
  <c r="D137" i="1"/>
  <c r="C137" i="1"/>
  <c r="C139" i="1" s="1"/>
  <c r="B137" i="1"/>
  <c r="F136" i="1"/>
  <c r="N136" i="1" s="1"/>
  <c r="M135" i="1"/>
  <c r="L135" i="1"/>
  <c r="N135" i="1" s="1"/>
  <c r="K135" i="1"/>
  <c r="I135" i="1"/>
  <c r="H135" i="1"/>
  <c r="G135" i="1"/>
  <c r="F135" i="1"/>
  <c r="E135" i="1"/>
  <c r="D135" i="1"/>
  <c r="C135" i="1"/>
  <c r="B135" i="1"/>
  <c r="J134" i="1"/>
  <c r="N134" i="1" s="1"/>
  <c r="J133" i="1"/>
  <c r="J135" i="1" s="1"/>
  <c r="N132" i="1"/>
  <c r="J131" i="1"/>
  <c r="I131" i="1"/>
  <c r="M130" i="1"/>
  <c r="L130" i="1"/>
  <c r="K130" i="1"/>
  <c r="J130" i="1"/>
  <c r="I130" i="1"/>
  <c r="H130" i="1"/>
  <c r="G130" i="1"/>
  <c r="G131" i="1" s="1"/>
  <c r="F130" i="1"/>
  <c r="F131" i="1" s="1"/>
  <c r="E130" i="1"/>
  <c r="E131" i="1" s="1"/>
  <c r="D130" i="1"/>
  <c r="C130" i="1"/>
  <c r="B130" i="1"/>
  <c r="M129" i="1"/>
  <c r="M131" i="1" s="1"/>
  <c r="L129" i="1"/>
  <c r="L131" i="1" s="1"/>
  <c r="K129" i="1"/>
  <c r="J129" i="1"/>
  <c r="I129" i="1"/>
  <c r="H129" i="1"/>
  <c r="H131" i="1" s="1"/>
  <c r="G129" i="1"/>
  <c r="F129" i="1"/>
  <c r="E129" i="1"/>
  <c r="D129" i="1"/>
  <c r="D131" i="1" s="1"/>
  <c r="C129" i="1"/>
  <c r="C131" i="1" s="1"/>
  <c r="B129" i="1"/>
  <c r="N129" i="1" s="1"/>
  <c r="N128" i="1"/>
  <c r="I127" i="1"/>
  <c r="N127" i="1" s="1"/>
  <c r="D126" i="1"/>
  <c r="C126" i="1"/>
  <c r="B126" i="1"/>
  <c r="M125" i="1"/>
  <c r="L125" i="1"/>
  <c r="L126" i="1" s="1"/>
  <c r="K125" i="1"/>
  <c r="K126" i="1" s="1"/>
  <c r="J125" i="1"/>
  <c r="J126" i="1" s="1"/>
  <c r="I125" i="1"/>
  <c r="H125" i="1"/>
  <c r="G125" i="1"/>
  <c r="F125" i="1"/>
  <c r="E125" i="1"/>
  <c r="D125" i="1"/>
  <c r="C125" i="1"/>
  <c r="B125" i="1"/>
  <c r="M124" i="1"/>
  <c r="M126" i="1" s="1"/>
  <c r="L124" i="1"/>
  <c r="K124" i="1"/>
  <c r="J124" i="1"/>
  <c r="I124" i="1"/>
  <c r="I126" i="1" s="1"/>
  <c r="H124" i="1"/>
  <c r="H126" i="1" s="1"/>
  <c r="G124" i="1"/>
  <c r="G126" i="1" s="1"/>
  <c r="F124" i="1"/>
  <c r="F126" i="1" s="1"/>
  <c r="E124" i="1"/>
  <c r="D124" i="1"/>
  <c r="C124" i="1"/>
  <c r="B124" i="1"/>
  <c r="N124" i="1" s="1"/>
  <c r="L123" i="1"/>
  <c r="N123" i="1" s="1"/>
  <c r="M122" i="1"/>
  <c r="J122" i="1"/>
  <c r="I122" i="1"/>
  <c r="H122" i="1"/>
  <c r="G122" i="1"/>
  <c r="F122" i="1"/>
  <c r="E122" i="1"/>
  <c r="D122" i="1"/>
  <c r="C122" i="1"/>
  <c r="N121" i="1"/>
  <c r="E121" i="1"/>
  <c r="D121" i="1"/>
  <c r="B121" i="1"/>
  <c r="L120" i="1"/>
  <c r="L122" i="1" s="1"/>
  <c r="K120" i="1"/>
  <c r="K122" i="1" s="1"/>
  <c r="I120" i="1"/>
  <c r="H120" i="1"/>
  <c r="E120" i="1"/>
  <c r="D120" i="1"/>
  <c r="B120" i="1"/>
  <c r="B122" i="1" s="1"/>
  <c r="N119" i="1"/>
  <c r="M118" i="1"/>
  <c r="F118" i="1"/>
  <c r="E118" i="1"/>
  <c r="B118" i="1"/>
  <c r="J117" i="1"/>
  <c r="N117" i="1" s="1"/>
  <c r="M116" i="1"/>
  <c r="L116" i="1"/>
  <c r="K116" i="1"/>
  <c r="J116" i="1"/>
  <c r="N116" i="1" s="1"/>
  <c r="I116" i="1"/>
  <c r="H116" i="1"/>
  <c r="G116" i="1"/>
  <c r="F116" i="1"/>
  <c r="E116" i="1"/>
  <c r="D116" i="1"/>
  <c r="C116" i="1"/>
  <c r="B116" i="1"/>
  <c r="M115" i="1"/>
  <c r="L115" i="1"/>
  <c r="L118" i="1" s="1"/>
  <c r="K115" i="1"/>
  <c r="K118" i="1" s="1"/>
  <c r="J115" i="1"/>
  <c r="I115" i="1"/>
  <c r="I118" i="1" s="1"/>
  <c r="H115" i="1"/>
  <c r="H118" i="1" s="1"/>
  <c r="G115" i="1"/>
  <c r="G118" i="1" s="1"/>
  <c r="F115" i="1"/>
  <c r="E115" i="1"/>
  <c r="D115" i="1"/>
  <c r="D118" i="1" s="1"/>
  <c r="C115" i="1"/>
  <c r="C118" i="1" s="1"/>
  <c r="B115" i="1"/>
  <c r="N114" i="1"/>
  <c r="K113" i="1"/>
  <c r="J113" i="1"/>
  <c r="I113" i="1"/>
  <c r="H113" i="1"/>
  <c r="G113" i="1"/>
  <c r="F113" i="1"/>
  <c r="E113" i="1"/>
  <c r="D113" i="1"/>
  <c r="B113" i="1"/>
  <c r="L112" i="1"/>
  <c r="L113" i="1" s="1"/>
  <c r="C112" i="1"/>
  <c r="N112" i="1" s="1"/>
  <c r="B112" i="1"/>
  <c r="M111" i="1"/>
  <c r="M113" i="1" s="1"/>
  <c r="C111" i="1"/>
  <c r="N110" i="1"/>
  <c r="M109" i="1"/>
  <c r="L109" i="1"/>
  <c r="K109" i="1"/>
  <c r="J109" i="1"/>
  <c r="I109" i="1"/>
  <c r="H109" i="1"/>
  <c r="G109" i="1"/>
  <c r="F109" i="1"/>
  <c r="E109" i="1"/>
  <c r="D109" i="1"/>
  <c r="N109" i="1" s="1"/>
  <c r="C109" i="1"/>
  <c r="B109" i="1"/>
  <c r="D108" i="1"/>
  <c r="N108" i="1" s="1"/>
  <c r="D107" i="1"/>
  <c r="N107" i="1" s="1"/>
  <c r="N106" i="1"/>
  <c r="M105" i="1"/>
  <c r="L105" i="1"/>
  <c r="K105" i="1"/>
  <c r="J105" i="1"/>
  <c r="H105" i="1"/>
  <c r="G105" i="1"/>
  <c r="F105" i="1"/>
  <c r="C105" i="1"/>
  <c r="B105" i="1"/>
  <c r="N105" i="1" s="1"/>
  <c r="H104" i="1"/>
  <c r="F104" i="1"/>
  <c r="E104" i="1"/>
  <c r="D104" i="1"/>
  <c r="D105" i="1" s="1"/>
  <c r="C104" i="1"/>
  <c r="N104" i="1" s="1"/>
  <c r="B104" i="1"/>
  <c r="I103" i="1"/>
  <c r="I105" i="1" s="1"/>
  <c r="H103" i="1"/>
  <c r="F103" i="1"/>
  <c r="E103" i="1"/>
  <c r="E105" i="1" s="1"/>
  <c r="D103" i="1"/>
  <c r="C103" i="1"/>
  <c r="B103" i="1"/>
  <c r="N103" i="1" s="1"/>
  <c r="N102" i="1"/>
  <c r="E101" i="1"/>
  <c r="M100" i="1"/>
  <c r="L100" i="1"/>
  <c r="K100" i="1"/>
  <c r="J100" i="1"/>
  <c r="J101" i="1" s="1"/>
  <c r="I100" i="1"/>
  <c r="I101" i="1" s="1"/>
  <c r="H100" i="1"/>
  <c r="F100" i="1"/>
  <c r="D100" i="1"/>
  <c r="N100" i="1" s="1"/>
  <c r="C100" i="1"/>
  <c r="B100" i="1"/>
  <c r="M99" i="1"/>
  <c r="L99" i="1"/>
  <c r="L101" i="1" s="1"/>
  <c r="K99" i="1"/>
  <c r="K101" i="1" s="1"/>
  <c r="J99" i="1"/>
  <c r="I99" i="1"/>
  <c r="H99" i="1"/>
  <c r="G99" i="1"/>
  <c r="G101" i="1" s="1"/>
  <c r="F99" i="1"/>
  <c r="D99" i="1"/>
  <c r="D101" i="1" s="1"/>
  <c r="C99" i="1"/>
  <c r="C101" i="1" s="1"/>
  <c r="B99" i="1"/>
  <c r="M98" i="1"/>
  <c r="N98" i="1" s="1"/>
  <c r="H98" i="1"/>
  <c r="F98" i="1"/>
  <c r="E98" i="1"/>
  <c r="M97" i="1"/>
  <c r="M101" i="1" s="1"/>
  <c r="H97" i="1"/>
  <c r="F97" i="1"/>
  <c r="E97" i="1"/>
  <c r="N96" i="1"/>
  <c r="M95" i="1"/>
  <c r="L95" i="1"/>
  <c r="K95" i="1"/>
  <c r="J95" i="1"/>
  <c r="I95" i="1"/>
  <c r="H95" i="1"/>
  <c r="G95" i="1"/>
  <c r="F95" i="1"/>
  <c r="E95" i="1"/>
  <c r="D95" i="1"/>
  <c r="C95" i="1"/>
  <c r="B95" i="1"/>
  <c r="N95" i="1" s="1"/>
  <c r="J94" i="1"/>
  <c r="N94" i="1" s="1"/>
  <c r="N93" i="1"/>
  <c r="K92" i="1"/>
  <c r="J92" i="1"/>
  <c r="I92" i="1"/>
  <c r="H92" i="1"/>
  <c r="D92" i="1"/>
  <c r="C92" i="1"/>
  <c r="M91" i="1"/>
  <c r="L91" i="1"/>
  <c r="K91" i="1"/>
  <c r="J91" i="1"/>
  <c r="I91" i="1"/>
  <c r="H91" i="1"/>
  <c r="G91" i="1"/>
  <c r="F91" i="1"/>
  <c r="E91" i="1"/>
  <c r="D91" i="1"/>
  <c r="C91" i="1"/>
  <c r="B91" i="1"/>
  <c r="N91" i="1" s="1"/>
  <c r="M90" i="1"/>
  <c r="M92" i="1" s="1"/>
  <c r="L90" i="1"/>
  <c r="L92" i="1" s="1"/>
  <c r="K90" i="1"/>
  <c r="J90" i="1"/>
  <c r="I90" i="1"/>
  <c r="H90" i="1"/>
  <c r="G90" i="1"/>
  <c r="G92" i="1" s="1"/>
  <c r="F90" i="1"/>
  <c r="E90" i="1"/>
  <c r="D90" i="1"/>
  <c r="C90" i="1"/>
  <c r="B90" i="1"/>
  <c r="B92" i="1" s="1"/>
  <c r="N89" i="1"/>
  <c r="M88" i="1"/>
  <c r="L88" i="1"/>
  <c r="K88" i="1"/>
  <c r="J88" i="1"/>
  <c r="I88" i="1"/>
  <c r="H88" i="1"/>
  <c r="G88" i="1"/>
  <c r="F88" i="1"/>
  <c r="E88" i="1"/>
  <c r="D88" i="1"/>
  <c r="C88" i="1"/>
  <c r="B88" i="1"/>
  <c r="N87" i="1"/>
  <c r="K87" i="1"/>
  <c r="K86" i="1"/>
  <c r="N86" i="1" s="1"/>
  <c r="N85" i="1"/>
  <c r="M84" i="1"/>
  <c r="L84" i="1"/>
  <c r="I84" i="1"/>
  <c r="H84" i="1"/>
  <c r="M83" i="1"/>
  <c r="L83" i="1"/>
  <c r="K83" i="1"/>
  <c r="K84" i="1" s="1"/>
  <c r="J83" i="1"/>
  <c r="J84" i="1" s="1"/>
  <c r="I83" i="1"/>
  <c r="H83" i="1"/>
  <c r="G83" i="1"/>
  <c r="F83" i="1"/>
  <c r="E83" i="1"/>
  <c r="E84" i="1" s="1"/>
  <c r="D83" i="1"/>
  <c r="D84" i="1" s="1"/>
  <c r="C83" i="1"/>
  <c r="B83" i="1"/>
  <c r="M82" i="1"/>
  <c r="L82" i="1"/>
  <c r="K82" i="1"/>
  <c r="J82" i="1"/>
  <c r="I82" i="1"/>
  <c r="H82" i="1"/>
  <c r="G82" i="1"/>
  <c r="G84" i="1" s="1"/>
  <c r="F82" i="1"/>
  <c r="F84" i="1" s="1"/>
  <c r="E82" i="1"/>
  <c r="D82" i="1"/>
  <c r="C82" i="1"/>
  <c r="C84" i="1" s="1"/>
  <c r="B82" i="1"/>
  <c r="N82" i="1" s="1"/>
  <c r="N81" i="1"/>
  <c r="M79" i="1"/>
  <c r="M80" i="1" s="1"/>
  <c r="L79" i="1"/>
  <c r="L80" i="1" s="1"/>
  <c r="K79" i="1"/>
  <c r="K80" i="1" s="1"/>
  <c r="J79" i="1"/>
  <c r="J80" i="1" s="1"/>
  <c r="I79" i="1"/>
  <c r="H79" i="1"/>
  <c r="G79" i="1"/>
  <c r="F79" i="1"/>
  <c r="E79" i="1"/>
  <c r="D79" i="1"/>
  <c r="C79" i="1"/>
  <c r="C80" i="1" s="1"/>
  <c r="B79" i="1"/>
  <c r="B80" i="1" s="1"/>
  <c r="M78" i="1"/>
  <c r="L78" i="1"/>
  <c r="K78" i="1"/>
  <c r="J78" i="1"/>
  <c r="I78" i="1"/>
  <c r="H78" i="1"/>
  <c r="G78" i="1"/>
  <c r="F78" i="1"/>
  <c r="F80" i="1" s="1"/>
  <c r="E78" i="1"/>
  <c r="E80" i="1" s="1"/>
  <c r="D78" i="1"/>
  <c r="N78" i="1" s="1"/>
  <c r="C78" i="1"/>
  <c r="B78" i="1"/>
  <c r="N77" i="1"/>
  <c r="B76" i="1"/>
  <c r="N76" i="1" s="1"/>
  <c r="M75" i="1"/>
  <c r="K75" i="1"/>
  <c r="G75" i="1"/>
  <c r="F75" i="1"/>
  <c r="E75" i="1"/>
  <c r="L74" i="1"/>
  <c r="L75" i="1" s="1"/>
  <c r="J74" i="1"/>
  <c r="I74" i="1"/>
  <c r="H74" i="1"/>
  <c r="G74" i="1"/>
  <c r="E74" i="1"/>
  <c r="D74" i="1"/>
  <c r="C74" i="1"/>
  <c r="C75" i="1" s="1"/>
  <c r="B74" i="1"/>
  <c r="J73" i="1"/>
  <c r="J75" i="1" s="1"/>
  <c r="I73" i="1"/>
  <c r="I75" i="1" s="1"/>
  <c r="H73" i="1"/>
  <c r="H75" i="1" s="1"/>
  <c r="G73" i="1"/>
  <c r="F73" i="1"/>
  <c r="E73" i="1"/>
  <c r="D73" i="1"/>
  <c r="N73" i="1" s="1"/>
  <c r="B73" i="1"/>
  <c r="N72" i="1"/>
  <c r="J68" i="1"/>
  <c r="H68" i="1"/>
  <c r="E68" i="1"/>
  <c r="C68" i="1"/>
  <c r="B68" i="1"/>
  <c r="M67" i="1"/>
  <c r="M68" i="1" s="1"/>
  <c r="L67" i="1"/>
  <c r="L68" i="1" s="1"/>
  <c r="K67" i="1"/>
  <c r="I67" i="1"/>
  <c r="G67" i="1"/>
  <c r="F67" i="1"/>
  <c r="D67" i="1"/>
  <c r="M66" i="1"/>
  <c r="L66" i="1"/>
  <c r="K66" i="1"/>
  <c r="K68" i="1" s="1"/>
  <c r="I66" i="1"/>
  <c r="I68" i="1" s="1"/>
  <c r="G66" i="1"/>
  <c r="G68" i="1" s="1"/>
  <c r="F66" i="1"/>
  <c r="F68" i="1" s="1"/>
  <c r="D66" i="1"/>
  <c r="N66" i="1" s="1"/>
  <c r="N65" i="1"/>
  <c r="G64" i="1"/>
  <c r="M63" i="1"/>
  <c r="L63" i="1"/>
  <c r="K63" i="1"/>
  <c r="I63" i="1"/>
  <c r="H63" i="1"/>
  <c r="G63" i="1"/>
  <c r="F63" i="1"/>
  <c r="E63" i="1"/>
  <c r="N63" i="1" s="1"/>
  <c r="D63" i="1"/>
  <c r="M62" i="1"/>
  <c r="L62" i="1"/>
  <c r="K62" i="1"/>
  <c r="J62" i="1"/>
  <c r="I62" i="1"/>
  <c r="H62" i="1"/>
  <c r="H64" i="1" s="1"/>
  <c r="H69" i="1" s="1"/>
  <c r="G62" i="1"/>
  <c r="F62" i="1"/>
  <c r="D62" i="1"/>
  <c r="N62" i="1" s="1"/>
  <c r="M61" i="1"/>
  <c r="L61" i="1"/>
  <c r="J61" i="1"/>
  <c r="J64" i="1" s="1"/>
  <c r="I61" i="1"/>
  <c r="N61" i="1" s="1"/>
  <c r="H61" i="1"/>
  <c r="G61" i="1"/>
  <c r="F61" i="1"/>
  <c r="E61" i="1"/>
  <c r="D61" i="1"/>
  <c r="D64" i="1" s="1"/>
  <c r="C61" i="1"/>
  <c r="B61" i="1"/>
  <c r="B64" i="1" s="1"/>
  <c r="M60" i="1"/>
  <c r="L60" i="1"/>
  <c r="L64" i="1" s="1"/>
  <c r="K60" i="1"/>
  <c r="I60" i="1"/>
  <c r="I64" i="1" s="1"/>
  <c r="H60" i="1"/>
  <c r="G60" i="1"/>
  <c r="F60" i="1"/>
  <c r="F64" i="1" s="1"/>
  <c r="E60" i="1"/>
  <c r="E64" i="1" s="1"/>
  <c r="D60" i="1"/>
  <c r="C60" i="1"/>
  <c r="B60" i="1"/>
  <c r="M59" i="1"/>
  <c r="M64" i="1" s="1"/>
  <c r="C59" i="1"/>
  <c r="N59" i="1" s="1"/>
  <c r="K58" i="1"/>
  <c r="J58" i="1"/>
  <c r="I58" i="1"/>
  <c r="E58" i="1"/>
  <c r="D58" i="1"/>
  <c r="C58" i="1"/>
  <c r="M57" i="1"/>
  <c r="M58" i="1" s="1"/>
  <c r="L57" i="1"/>
  <c r="L58" i="1" s="1"/>
  <c r="H57" i="1"/>
  <c r="G57" i="1"/>
  <c r="F57" i="1"/>
  <c r="F58" i="1" s="1"/>
  <c r="B57" i="1"/>
  <c r="N56" i="1"/>
  <c r="L56" i="1"/>
  <c r="H56" i="1"/>
  <c r="H58" i="1" s="1"/>
  <c r="G56" i="1"/>
  <c r="G58" i="1" s="1"/>
  <c r="N55" i="1"/>
  <c r="M54" i="1"/>
  <c r="L54" i="1"/>
  <c r="I54" i="1"/>
  <c r="H54" i="1"/>
  <c r="G54" i="1"/>
  <c r="F54" i="1"/>
  <c r="M53" i="1"/>
  <c r="L53" i="1"/>
  <c r="K53" i="1"/>
  <c r="K54" i="1" s="1"/>
  <c r="J53" i="1"/>
  <c r="J54" i="1" s="1"/>
  <c r="I53" i="1"/>
  <c r="H53" i="1"/>
  <c r="G53" i="1"/>
  <c r="F53" i="1"/>
  <c r="E53" i="1"/>
  <c r="E54" i="1" s="1"/>
  <c r="D53" i="1"/>
  <c r="D54" i="1" s="1"/>
  <c r="C53" i="1"/>
  <c r="B53" i="1"/>
  <c r="N53" i="1" s="1"/>
  <c r="M52" i="1"/>
  <c r="L52" i="1"/>
  <c r="K52" i="1"/>
  <c r="J52" i="1"/>
  <c r="I52" i="1"/>
  <c r="H52" i="1"/>
  <c r="G52" i="1"/>
  <c r="F52" i="1"/>
  <c r="E52" i="1"/>
  <c r="D52" i="1"/>
  <c r="C52" i="1"/>
  <c r="C54" i="1" s="1"/>
  <c r="B52" i="1"/>
  <c r="N52" i="1" s="1"/>
  <c r="N51" i="1"/>
  <c r="M50" i="1"/>
  <c r="L50" i="1"/>
  <c r="G50" i="1"/>
  <c r="F50" i="1"/>
  <c r="E50" i="1"/>
  <c r="D50" i="1"/>
  <c r="B50" i="1"/>
  <c r="H49" i="1"/>
  <c r="H50" i="1" s="1"/>
  <c r="F49" i="1"/>
  <c r="N49" i="1" s="1"/>
  <c r="M48" i="1"/>
  <c r="K48" i="1"/>
  <c r="K50" i="1" s="1"/>
  <c r="J48" i="1"/>
  <c r="J50" i="1" s="1"/>
  <c r="I48" i="1"/>
  <c r="I50" i="1" s="1"/>
  <c r="N50" i="1" s="1"/>
  <c r="F48" i="1"/>
  <c r="D48" i="1"/>
  <c r="C48" i="1"/>
  <c r="C50" i="1" s="1"/>
  <c r="N47" i="1"/>
  <c r="J46" i="1"/>
  <c r="H46" i="1"/>
  <c r="F46" i="1"/>
  <c r="F69" i="1" s="1"/>
  <c r="E46" i="1"/>
  <c r="E69" i="1" s="1"/>
  <c r="D46" i="1"/>
  <c r="C46" i="1"/>
  <c r="M45" i="1"/>
  <c r="L45" i="1"/>
  <c r="L46" i="1" s="1"/>
  <c r="L69" i="1" s="1"/>
  <c r="K45" i="1"/>
  <c r="K46" i="1" s="1"/>
  <c r="J45" i="1"/>
  <c r="I45" i="1"/>
  <c r="H45" i="1"/>
  <c r="G45" i="1"/>
  <c r="G46" i="1" s="1"/>
  <c r="G69" i="1" s="1"/>
  <c r="F45" i="1"/>
  <c r="E45" i="1"/>
  <c r="D45" i="1"/>
  <c r="C45" i="1"/>
  <c r="B45" i="1"/>
  <c r="M44" i="1"/>
  <c r="M46" i="1" s="1"/>
  <c r="L44" i="1"/>
  <c r="K44" i="1"/>
  <c r="J44" i="1"/>
  <c r="I44" i="1"/>
  <c r="I46" i="1" s="1"/>
  <c r="I69" i="1" s="1"/>
  <c r="H44" i="1"/>
  <c r="G44" i="1"/>
  <c r="F44" i="1"/>
  <c r="E44" i="1"/>
  <c r="D44" i="1"/>
  <c r="N44" i="1" s="1"/>
  <c r="C44" i="1"/>
  <c r="B44" i="1"/>
  <c r="N43" i="1"/>
  <c r="I40" i="1"/>
  <c r="D40" i="1"/>
  <c r="N40" i="1" s="1"/>
  <c r="M39" i="1"/>
  <c r="L39" i="1"/>
  <c r="K39" i="1"/>
  <c r="J39" i="1"/>
  <c r="I39" i="1"/>
  <c r="H39" i="1"/>
  <c r="G39" i="1"/>
  <c r="F39" i="1"/>
  <c r="E39" i="1"/>
  <c r="D39" i="1"/>
  <c r="B39" i="1"/>
  <c r="N39" i="1" s="1"/>
  <c r="N38" i="1"/>
  <c r="C38" i="1"/>
  <c r="C37" i="1"/>
  <c r="C39" i="1" s="1"/>
  <c r="N36" i="1"/>
  <c r="N35" i="1"/>
  <c r="G35" i="1"/>
  <c r="M34" i="1"/>
  <c r="L34" i="1"/>
  <c r="K34" i="1"/>
  <c r="J34" i="1"/>
  <c r="I34" i="1"/>
  <c r="E34" i="1"/>
  <c r="C34" i="1"/>
  <c r="B34" i="1"/>
  <c r="I33" i="1"/>
  <c r="H33" i="1"/>
  <c r="G33" i="1"/>
  <c r="F33" i="1"/>
  <c r="E33" i="1"/>
  <c r="D33" i="1"/>
  <c r="N33" i="1" s="1"/>
  <c r="I32" i="1"/>
  <c r="H32" i="1"/>
  <c r="H34" i="1" s="1"/>
  <c r="G32" i="1"/>
  <c r="G34" i="1" s="1"/>
  <c r="F32" i="1"/>
  <c r="F34" i="1" s="1"/>
  <c r="E32" i="1"/>
  <c r="D32" i="1"/>
  <c r="N32" i="1" s="1"/>
  <c r="N31" i="1"/>
  <c r="M30" i="1"/>
  <c r="L30" i="1"/>
  <c r="K30" i="1"/>
  <c r="J30" i="1"/>
  <c r="C30" i="1"/>
  <c r="B30" i="1"/>
  <c r="I29" i="1"/>
  <c r="H29" i="1"/>
  <c r="G29" i="1"/>
  <c r="G30" i="1" s="1"/>
  <c r="F29" i="1"/>
  <c r="E29" i="1"/>
  <c r="D29" i="1"/>
  <c r="N29" i="1" s="1"/>
  <c r="I28" i="1"/>
  <c r="H28" i="1"/>
  <c r="G28" i="1"/>
  <c r="F28" i="1"/>
  <c r="F30" i="1" s="1"/>
  <c r="E28" i="1"/>
  <c r="E30" i="1" s="1"/>
  <c r="D28" i="1"/>
  <c r="N27" i="1"/>
  <c r="M26" i="1"/>
  <c r="L26" i="1"/>
  <c r="K26" i="1"/>
  <c r="J26" i="1"/>
  <c r="I26" i="1"/>
  <c r="H26" i="1"/>
  <c r="G26" i="1"/>
  <c r="F26" i="1"/>
  <c r="E26" i="1"/>
  <c r="D26" i="1"/>
  <c r="C26" i="1"/>
  <c r="B26" i="1"/>
  <c r="N26" i="1" s="1"/>
  <c r="N25" i="1"/>
  <c r="I25" i="1"/>
  <c r="I24" i="1"/>
  <c r="N24" i="1" s="1"/>
  <c r="N23" i="1"/>
  <c r="L22" i="1"/>
  <c r="J22" i="1"/>
  <c r="I22" i="1"/>
  <c r="E22" i="1"/>
  <c r="D22" i="1"/>
  <c r="M21" i="1"/>
  <c r="K21" i="1"/>
  <c r="J21" i="1"/>
  <c r="I21" i="1"/>
  <c r="H21" i="1"/>
  <c r="G21" i="1"/>
  <c r="F21" i="1"/>
  <c r="E21" i="1"/>
  <c r="D21" i="1"/>
  <c r="C21" i="1"/>
  <c r="B21" i="1"/>
  <c r="N21" i="1" s="1"/>
  <c r="M20" i="1"/>
  <c r="M22" i="1" s="1"/>
  <c r="K20" i="1"/>
  <c r="N20" i="1" s="1"/>
  <c r="J20" i="1"/>
  <c r="I20" i="1"/>
  <c r="H20" i="1"/>
  <c r="G20" i="1"/>
  <c r="G22" i="1" s="1"/>
  <c r="F20" i="1"/>
  <c r="F22" i="1" s="1"/>
  <c r="E20" i="1"/>
  <c r="D20" i="1"/>
  <c r="C20" i="1"/>
  <c r="C22" i="1" s="1"/>
  <c r="B20" i="1"/>
  <c r="B22" i="1" s="1"/>
  <c r="N19" i="1"/>
  <c r="K18" i="1"/>
  <c r="J18" i="1"/>
  <c r="I18" i="1"/>
  <c r="F18" i="1"/>
  <c r="E18" i="1"/>
  <c r="D18" i="1"/>
  <c r="C18" i="1"/>
  <c r="M17" i="1"/>
  <c r="L17" i="1"/>
  <c r="K17" i="1"/>
  <c r="J17" i="1"/>
  <c r="I17" i="1"/>
  <c r="H17" i="1"/>
  <c r="H18" i="1" s="1"/>
  <c r="G17" i="1"/>
  <c r="G18" i="1" s="1"/>
  <c r="F17" i="1"/>
  <c r="E17" i="1"/>
  <c r="D17" i="1"/>
  <c r="C17" i="1"/>
  <c r="B17" i="1"/>
  <c r="B18" i="1" s="1"/>
  <c r="M16" i="1"/>
  <c r="M18" i="1" s="1"/>
  <c r="L16" i="1"/>
  <c r="K16" i="1"/>
  <c r="J16" i="1"/>
  <c r="I16" i="1"/>
  <c r="H16" i="1"/>
  <c r="G16" i="1"/>
  <c r="F16" i="1"/>
  <c r="E16" i="1"/>
  <c r="D16" i="1"/>
  <c r="C16" i="1"/>
  <c r="B16" i="1"/>
  <c r="N15" i="1"/>
  <c r="M14" i="1"/>
  <c r="L14" i="1"/>
  <c r="K14" i="1"/>
  <c r="M13" i="1"/>
  <c r="L13" i="1"/>
  <c r="K13" i="1"/>
  <c r="J13" i="1"/>
  <c r="J14" i="1" s="1"/>
  <c r="I13" i="1"/>
  <c r="I14" i="1" s="1"/>
  <c r="H13" i="1"/>
  <c r="G13" i="1"/>
  <c r="F13" i="1"/>
  <c r="E13" i="1"/>
  <c r="N13" i="1" s="1"/>
  <c r="D13" i="1"/>
  <c r="C13" i="1"/>
  <c r="B13" i="1"/>
  <c r="M12" i="1"/>
  <c r="L12" i="1"/>
  <c r="K12" i="1"/>
  <c r="J12" i="1"/>
  <c r="I12" i="1"/>
  <c r="H12" i="1"/>
  <c r="H14" i="1" s="1"/>
  <c r="G12" i="1"/>
  <c r="G14" i="1" s="1"/>
  <c r="G41" i="1" s="1"/>
  <c r="F12" i="1"/>
  <c r="E12" i="1"/>
  <c r="D12" i="1"/>
  <c r="D14" i="1" s="1"/>
  <c r="C12" i="1"/>
  <c r="C14" i="1" s="1"/>
  <c r="B12" i="1"/>
  <c r="N12" i="1" s="1"/>
  <c r="N11" i="1"/>
  <c r="L11" i="1"/>
  <c r="J11" i="1"/>
  <c r="M10" i="1"/>
  <c r="L10" i="1"/>
  <c r="J10" i="1"/>
  <c r="I10" i="1"/>
  <c r="G10" i="1"/>
  <c r="F10" i="1"/>
  <c r="E10" i="1"/>
  <c r="D10" i="1"/>
  <c r="C10" i="1"/>
  <c r="B10" i="1"/>
  <c r="N9" i="1"/>
  <c r="K9" i="1"/>
  <c r="H9" i="1"/>
  <c r="F9" i="1"/>
  <c r="E9" i="1"/>
  <c r="D9" i="1"/>
  <c r="C9" i="1"/>
  <c r="B9" i="1"/>
  <c r="K8" i="1"/>
  <c r="K10" i="1" s="1"/>
  <c r="H8" i="1"/>
  <c r="H10" i="1" s="1"/>
  <c r="F8" i="1"/>
  <c r="E8" i="1"/>
  <c r="D8" i="1"/>
  <c r="C8" i="1"/>
  <c r="B8" i="1"/>
  <c r="N8" i="1" s="1"/>
  <c r="N7" i="1"/>
  <c r="N18" i="1" l="1"/>
  <c r="I157" i="1"/>
  <c r="M41" i="1"/>
  <c r="J157" i="1"/>
  <c r="D69" i="1"/>
  <c r="N126" i="1"/>
  <c r="M69" i="1"/>
  <c r="N122" i="1"/>
  <c r="L41" i="1"/>
  <c r="L70" i="1" s="1"/>
  <c r="L158" i="1" s="1"/>
  <c r="L166" i="1" s="1"/>
  <c r="N148" i="1"/>
  <c r="N92" i="1"/>
  <c r="M157" i="1"/>
  <c r="N152" i="1"/>
  <c r="L157" i="1"/>
  <c r="G70" i="1"/>
  <c r="N118" i="1"/>
  <c r="N67" i="1"/>
  <c r="N137" i="1"/>
  <c r="D75" i="1"/>
  <c r="N156" i="1"/>
  <c r="C41" i="1"/>
  <c r="D34" i="1"/>
  <c r="N34" i="1" s="1"/>
  <c r="E157" i="1"/>
  <c r="N90" i="1"/>
  <c r="F14" i="1"/>
  <c r="F41" i="1" s="1"/>
  <c r="F70" i="1" s="1"/>
  <c r="F158" i="1" s="1"/>
  <c r="F166" i="1" s="1"/>
  <c r="K22" i="1"/>
  <c r="K41" i="1" s="1"/>
  <c r="K70" i="1" s="1"/>
  <c r="D68" i="1"/>
  <c r="I80" i="1"/>
  <c r="F101" i="1"/>
  <c r="J118" i="1"/>
  <c r="B139" i="1"/>
  <c r="N139" i="1" s="1"/>
  <c r="N79" i="1"/>
  <c r="E14" i="1"/>
  <c r="E41" i="1" s="1"/>
  <c r="E70" i="1" s="1"/>
  <c r="N48" i="1"/>
  <c r="H80" i="1"/>
  <c r="H157" i="1" s="1"/>
  <c r="N45" i="1"/>
  <c r="N74" i="1"/>
  <c r="D80" i="1"/>
  <c r="N10" i="1"/>
  <c r="N68" i="1"/>
  <c r="K64" i="1"/>
  <c r="K69" i="1" s="1"/>
  <c r="N133" i="1"/>
  <c r="J41" i="1"/>
  <c r="J70" i="1" s="1"/>
  <c r="B46" i="1"/>
  <c r="J69" i="1"/>
  <c r="N88" i="1"/>
  <c r="E92" i="1"/>
  <c r="N125" i="1"/>
  <c r="J165" i="1"/>
  <c r="K165" i="1"/>
  <c r="F157" i="1"/>
  <c r="E165" i="1"/>
  <c r="I41" i="1"/>
  <c r="I70" i="1" s="1"/>
  <c r="N60" i="1"/>
  <c r="B14" i="1"/>
  <c r="N28" i="1"/>
  <c r="C64" i="1"/>
  <c r="C69" i="1" s="1"/>
  <c r="B84" i="1"/>
  <c r="N84" i="1" s="1"/>
  <c r="F92" i="1"/>
  <c r="N115" i="1"/>
  <c r="N120" i="1"/>
  <c r="K131" i="1"/>
  <c r="K157" i="1" s="1"/>
  <c r="N130" i="1"/>
  <c r="N146" i="1"/>
  <c r="N151" i="1"/>
  <c r="B161" i="1"/>
  <c r="N160" i="1"/>
  <c r="I165" i="1"/>
  <c r="N16" i="1"/>
  <c r="D41" i="1"/>
  <c r="D70" i="1" s="1"/>
  <c r="G80" i="1"/>
  <c r="N80" i="1" s="1"/>
  <c r="N99" i="1"/>
  <c r="B101" i="1"/>
  <c r="N101" i="1" s="1"/>
  <c r="H101" i="1"/>
  <c r="B131" i="1"/>
  <c r="B54" i="1"/>
  <c r="N54" i="1" s="1"/>
  <c r="B58" i="1"/>
  <c r="N58" i="1" s="1"/>
  <c r="N57" i="1"/>
  <c r="N142" i="1"/>
  <c r="N97" i="1"/>
  <c r="C113" i="1"/>
  <c r="C157" i="1" s="1"/>
  <c r="N111" i="1"/>
  <c r="B164" i="1"/>
  <c r="N164" i="1" s="1"/>
  <c r="N163" i="1"/>
  <c r="N17" i="1"/>
  <c r="H22" i="1"/>
  <c r="H41" i="1" s="1"/>
  <c r="H70" i="1" s="1"/>
  <c r="H158" i="1" s="1"/>
  <c r="H166" i="1" s="1"/>
  <c r="H30" i="1"/>
  <c r="N37" i="1"/>
  <c r="N83" i="1"/>
  <c r="F144" i="1"/>
  <c r="N144" i="1" s="1"/>
  <c r="L18" i="1"/>
  <c r="I30" i="1"/>
  <c r="B75" i="1"/>
  <c r="E126" i="1"/>
  <c r="D30" i="1"/>
  <c r="K158" i="1" l="1"/>
  <c r="K166" i="1" s="1"/>
  <c r="N161" i="1"/>
  <c r="B165" i="1"/>
  <c r="N165" i="1" s="1"/>
  <c r="B41" i="1"/>
  <c r="N14" i="1"/>
  <c r="I158" i="1"/>
  <c r="I166" i="1" s="1"/>
  <c r="G157" i="1"/>
  <c r="G158" i="1" s="1"/>
  <c r="G166" i="1" s="1"/>
  <c r="N64" i="1"/>
  <c r="N22" i="1"/>
  <c r="N131" i="1"/>
  <c r="N30" i="1"/>
  <c r="C70" i="1"/>
  <c r="C158" i="1" s="1"/>
  <c r="C166" i="1" s="1"/>
  <c r="D157" i="1"/>
  <c r="D158" i="1" s="1"/>
  <c r="D166" i="1" s="1"/>
  <c r="E158" i="1"/>
  <c r="E166" i="1" s="1"/>
  <c r="N75" i="1"/>
  <c r="B157" i="1"/>
  <c r="N157" i="1" s="1"/>
  <c r="B69" i="1"/>
  <c r="N69" i="1" s="1"/>
  <c r="N46" i="1"/>
  <c r="M70" i="1"/>
  <c r="M158" i="1" s="1"/>
  <c r="M166" i="1" s="1"/>
  <c r="N113" i="1"/>
  <c r="J158" i="1"/>
  <c r="J166" i="1" s="1"/>
  <c r="B70" i="1" l="1"/>
  <c r="N41" i="1"/>
  <c r="N70" i="1" l="1"/>
  <c r="B158" i="1"/>
  <c r="B166" i="1" l="1"/>
  <c r="N166" i="1" s="1"/>
  <c r="N158" i="1"/>
</calcChain>
</file>

<file path=xl/sharedStrings.xml><?xml version="1.0" encoding="utf-8"?>
<sst xmlns="http://schemas.openxmlformats.org/spreadsheetml/2006/main" count="178" uniqueCount="178">
  <si>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</si>
  <si>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</si>
  <si>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</si>
  <si>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</si>
  <si>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</si>
  <si>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</si>
  <si>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</si>
  <si>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</si>
  <si>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</si>
  <si>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</si>
  <si>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</si>
  <si>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</si>
  <si>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Total</t>
  </si>
  <si>
    <t>Income</t>
  </si>
  <si>
    <t xml:space="preserve">   40000 Standby Fees</t>
  </si>
  <si>
    <t xml:space="preserve">      40000-5 Standby Fees - Water</t>
  </si>
  <si>
    <t xml:space="preserve">      40000-6 Standby Fees - Sewer</t>
  </si>
  <si>
    <t xml:space="preserve">   Total 40000 Standby Fees</t>
  </si>
  <si>
    <t xml:space="preserve">   40200 Water &amp; Sewer Services</t>
  </si>
  <si>
    <t xml:space="preserve">      40200-5 Water Services</t>
  </si>
  <si>
    <t xml:space="preserve">      40200-6 Sewer Services</t>
  </si>
  <si>
    <t xml:space="preserve">   Total 40200 Water &amp; Sewer Services</t>
  </si>
  <si>
    <t xml:space="preserve">   40300 Late Charges</t>
  </si>
  <si>
    <t xml:space="preserve">      40300-5 Late Charges - Water</t>
  </si>
  <si>
    <t xml:space="preserve">      40300-6 Late Charges - Sewer</t>
  </si>
  <si>
    <t xml:space="preserve">   Total 40300 Late Charges</t>
  </si>
  <si>
    <t xml:space="preserve">   40400 Membership Fees</t>
  </si>
  <si>
    <t xml:space="preserve">      40400-5 Membership Fees - Water</t>
  </si>
  <si>
    <t xml:space="preserve">      40400-6 Membership Fees - Sewer</t>
  </si>
  <si>
    <t xml:space="preserve">   Total 40400 Membership Fees</t>
  </si>
  <si>
    <t xml:space="preserve">   40410 Membership Transfer Fees</t>
  </si>
  <si>
    <t xml:space="preserve">      40410-5 Membership Transfer Fees-Water</t>
  </si>
  <si>
    <t xml:space="preserve">      40410-6 Membership Transfer Fees-Sewer</t>
  </si>
  <si>
    <t xml:space="preserve">   Total 40410 Membership Transfer Fees</t>
  </si>
  <si>
    <t xml:space="preserve">   40500 Equity Buy-in Fees</t>
  </si>
  <si>
    <t xml:space="preserve">      40500-5 Equity Buy-In Fees - Water</t>
  </si>
  <si>
    <t xml:space="preserve">      40500-6 Equity Buy-In Fees - Sewer</t>
  </si>
  <si>
    <t xml:space="preserve">   Total 40500 Equity Buy-in Fees</t>
  </si>
  <si>
    <t xml:space="preserve">   40600 Water &amp; Sewer Taps</t>
  </si>
  <si>
    <t xml:space="preserve">      40600-5 Water Taps</t>
  </si>
  <si>
    <t xml:space="preserve">      40600-6 Sewer Taps</t>
  </si>
  <si>
    <t xml:space="preserve">   Total 40600 Water &amp; Sewer Taps</t>
  </si>
  <si>
    <t xml:space="preserve">   42000 Insurance Claim Settlements</t>
  </si>
  <si>
    <t xml:space="preserve">   44000 Regulatory Assessment fee refun</t>
  </si>
  <si>
    <t xml:space="preserve">      44000-5 Regulatory Assess Fee Ref - Wat</t>
  </si>
  <si>
    <t xml:space="preserve">      44000-6 Regulatory Assess Fee Ref-Sewer</t>
  </si>
  <si>
    <t xml:space="preserve">   Total 44000 Regulatory Assessment fee refun</t>
  </si>
  <si>
    <t xml:space="preserve">   48000 Miscellaneous Income</t>
  </si>
  <si>
    <t>Total Income</t>
  </si>
  <si>
    <t>Cost of Goods Sold</t>
  </si>
  <si>
    <t xml:space="preserve">   50000 COS-Operator</t>
  </si>
  <si>
    <t xml:space="preserve">      50000-5 COS Operator - Water</t>
  </si>
  <si>
    <t xml:space="preserve">      50000-6 COS Operator - Sewer</t>
  </si>
  <si>
    <t xml:space="preserve">   Total 50000 COS-Operator</t>
  </si>
  <si>
    <t xml:space="preserve">   57000 COS-Chemicals</t>
  </si>
  <si>
    <t xml:space="preserve">      57000-5 COS Chemicals - Water</t>
  </si>
  <si>
    <t xml:space="preserve">      57000-6 COS Chemcials - Sewer</t>
  </si>
  <si>
    <t xml:space="preserve">   Total 57000 COS-Chemicals</t>
  </si>
  <si>
    <t xml:space="preserve">   57500 COS-Electricity</t>
  </si>
  <si>
    <t xml:space="preserve">      57500-5 COS Electricity -Water</t>
  </si>
  <si>
    <t xml:space="preserve">      57500-6 COS Electricity -Sewer</t>
  </si>
  <si>
    <t xml:space="preserve">   Total 57500 COS-Electricity</t>
  </si>
  <si>
    <t xml:space="preserve">   58000 COS-Sludge Removal</t>
  </si>
  <si>
    <t xml:space="preserve">      58000-5 COS-Sludge Removal - Water</t>
  </si>
  <si>
    <t xml:space="preserve">      58000-6 COS-Sludge Removal - Sewer</t>
  </si>
  <si>
    <t xml:space="preserve">   Total 58000 COS-Sludge Removal</t>
  </si>
  <si>
    <t xml:space="preserve">   58500 LCRA - Raw Water Fee</t>
  </si>
  <si>
    <t xml:space="preserve">      58500-5 COS-LCRA  Raw Water Fee - Water</t>
  </si>
  <si>
    <t xml:space="preserve">      58500-6 COS-LCRA  Raw Water Fee - Sewer</t>
  </si>
  <si>
    <t xml:space="preserve">      58550-5 Raw Water Fee-water</t>
  </si>
  <si>
    <t xml:space="preserve">      58550-6 Raw Water Fee-sewer</t>
  </si>
  <si>
    <t xml:space="preserve">   Total 58500 LCRA - Raw Water Fee</t>
  </si>
  <si>
    <t xml:space="preserve">   59000 COS-Lab Fees</t>
  </si>
  <si>
    <t xml:space="preserve">      59000-5 COS Lab Fees- Water</t>
  </si>
  <si>
    <t xml:space="preserve">      59000-6 COS Lab Fees- Sewer</t>
  </si>
  <si>
    <t xml:space="preserve">   Total 59000 COS-Lab Fees</t>
  </si>
  <si>
    <t>Total Cost of Goods Sold</t>
  </si>
  <si>
    <t>Gross Profit</t>
  </si>
  <si>
    <t>Expenses</t>
  </si>
  <si>
    <t xml:space="preserve">   59610 Install New Service Taps</t>
  </si>
  <si>
    <t xml:space="preserve">      59610-5 Install New Service Taps-Water</t>
  </si>
  <si>
    <t xml:space="preserve">      59610-6 Install New Service Taps-Sewer</t>
  </si>
  <si>
    <t xml:space="preserve">   Total 59610 Install New Service Taps</t>
  </si>
  <si>
    <t xml:space="preserve">   59620 Misc Operations Expense</t>
  </si>
  <si>
    <t xml:space="preserve">   62000 Bank Charges</t>
  </si>
  <si>
    <t xml:space="preserve">      62000-5 Bank Charges - Water</t>
  </si>
  <si>
    <t xml:space="preserve">      62000-6 Bank Charges - Sewer</t>
  </si>
  <si>
    <t xml:space="preserve">   Total 62000 Bank Charges</t>
  </si>
  <si>
    <t xml:space="preserve">   62400 Bookkeeping</t>
  </si>
  <si>
    <t xml:space="preserve">      62400-5 Bookkeeping - Water</t>
  </si>
  <si>
    <t xml:space="preserve">      62400-6 Bookkeeping - Sewer</t>
  </si>
  <si>
    <t xml:space="preserve">   Total 62400 Bookkeeping</t>
  </si>
  <si>
    <t xml:space="preserve">   62500 Accounting</t>
  </si>
  <si>
    <t xml:space="preserve">      62500-5 Accounting - Water</t>
  </si>
  <si>
    <t xml:space="preserve">      62500-6 Accounting - Sewer</t>
  </si>
  <si>
    <t xml:space="preserve">   Total 62500 Accounting</t>
  </si>
  <si>
    <t xml:space="preserve">   62600 Billing Services</t>
  </si>
  <si>
    <t xml:space="preserve">      62600-5 Billing - Water</t>
  </si>
  <si>
    <t xml:space="preserve">      62600-6 Billing - Sewer</t>
  </si>
  <si>
    <t xml:space="preserve">   Total 62600 Billing Services</t>
  </si>
  <si>
    <t xml:space="preserve">   62800 Total Contract Services</t>
  </si>
  <si>
    <t xml:space="preserve">      62806-5 Consulting Fees - Water</t>
  </si>
  <si>
    <t xml:space="preserve">   Total 62800 Total Contract Services</t>
  </si>
  <si>
    <t xml:space="preserve">   63000 Legal/Appraisal</t>
  </si>
  <si>
    <t xml:space="preserve">      63000-5 Legal/Appraisal - Water</t>
  </si>
  <si>
    <t xml:space="preserve">      63000-6 Legal/Appraisal - Sewer</t>
  </si>
  <si>
    <t xml:space="preserve">      63100-5 Lawsuit 2017/18-Water</t>
  </si>
  <si>
    <t xml:space="preserve">      63100-6 Lawsuit 2017/18-Sewer</t>
  </si>
  <si>
    <t xml:space="preserve">   Total 63000 Legal/Appraisal</t>
  </si>
  <si>
    <t xml:space="preserve">   63200 Public Information Officer exp</t>
  </si>
  <si>
    <t xml:space="preserve">      63200-5 PIO Expense - Water</t>
  </si>
  <si>
    <t xml:space="preserve">      63200-6 PIO Expense - Sewer</t>
  </si>
  <si>
    <t xml:space="preserve">   Total 63200 Public Information Officer exp</t>
  </si>
  <si>
    <t xml:space="preserve">   63500 Dues &amp; Subscriptions</t>
  </si>
  <si>
    <t xml:space="preserve">      63500-5 Dues/Subscriptions - Water</t>
  </si>
  <si>
    <t xml:space="preserve">      63500-6 Dues/Subscriptions  - Sewer</t>
  </si>
  <si>
    <t xml:space="preserve">   Total 63500 Dues &amp; Subscriptions</t>
  </si>
  <si>
    <t xml:space="preserve">   64000 TCEQ System Fee</t>
  </si>
  <si>
    <t xml:space="preserve">      64000-5 TCEQ System Fee - Water</t>
  </si>
  <si>
    <t xml:space="preserve">      64000-6 TCEQ System Fee - Sewer</t>
  </si>
  <si>
    <t xml:space="preserve">   Total 64000 TCEQ System Fee</t>
  </si>
  <si>
    <t xml:space="preserve">   65500 Insurance</t>
  </si>
  <si>
    <t xml:space="preserve">      65500-5 Insurance - Water</t>
  </si>
  <si>
    <t xml:space="preserve">      65500-6 Insurance - Sewer</t>
  </si>
  <si>
    <t xml:space="preserve">      65501 Insurance - Other</t>
  </si>
  <si>
    <t xml:space="preserve">   Total 65500 Insurance</t>
  </si>
  <si>
    <t xml:space="preserve">   66000 Office Supplies</t>
  </si>
  <si>
    <t xml:space="preserve">      66000-5 Office Supplies - Water</t>
  </si>
  <si>
    <t xml:space="preserve">      66000-6 Office Supplies - Sewer</t>
  </si>
  <si>
    <t xml:space="preserve">   Total 66000 Office Supplies</t>
  </si>
  <si>
    <t xml:space="preserve">   66500 Telephone and Internet</t>
  </si>
  <si>
    <t xml:space="preserve">      66500-5 Telephone/Internet - Water</t>
  </si>
  <si>
    <t xml:space="preserve">      66500-6 Telephone/Internet - Sewer</t>
  </si>
  <si>
    <t xml:space="preserve">   Total 66500 Telephone and Internet</t>
  </si>
  <si>
    <t xml:space="preserve">   66900 Reconciliation Discrepancies</t>
  </si>
  <si>
    <t xml:space="preserve">   67000 Postage &amp; Shipping Expense</t>
  </si>
  <si>
    <t xml:space="preserve">      67000-5 Postage &amp; Shipping - Water</t>
  </si>
  <si>
    <t xml:space="preserve">      67000-6 Postage &amp; Shipping - Sewer</t>
  </si>
  <si>
    <t xml:space="preserve">   Total 67000 Postage &amp; Shipping Expense</t>
  </si>
  <si>
    <t xml:space="preserve">   68000 Equipment Rental Expense</t>
  </si>
  <si>
    <t xml:space="preserve">      68000-5 Equip Rental Expense - Water</t>
  </si>
  <si>
    <t xml:space="preserve">      68000-6 Equip Rental Expense - Sewer</t>
  </si>
  <si>
    <t xml:space="preserve">   Total 68000 Equipment Rental Expense</t>
  </si>
  <si>
    <t xml:space="preserve">   68500 Repairs &amp; Maintenance</t>
  </si>
  <si>
    <t xml:space="preserve">      68500-5 Repairs &amp; Maintenance - Water</t>
  </si>
  <si>
    <t xml:space="preserve">      68500-6 Repairs &amp; Maintenance - Sewer</t>
  </si>
  <si>
    <t xml:space="preserve">   Total 68500 Repairs &amp; Maintenance</t>
  </si>
  <si>
    <t xml:space="preserve">   68551 2015 Storm Damage</t>
  </si>
  <si>
    <t xml:space="preserve">   68600 Repair Parts</t>
  </si>
  <si>
    <t xml:space="preserve">      68600-5 Repair Parts - Water</t>
  </si>
  <si>
    <t xml:space="preserve">      68600-6 Repair Parts - Sewer</t>
  </si>
  <si>
    <t xml:space="preserve">   Total 68600 Repair Parts</t>
  </si>
  <si>
    <t xml:space="preserve">   69000 Printing Expense</t>
  </si>
  <si>
    <t xml:space="preserve">      69000-5 Printing Expense - Water</t>
  </si>
  <si>
    <t xml:space="preserve">      69000-6 Printing Expense - Sewer</t>
  </si>
  <si>
    <t xml:space="preserve">   Total 69000 Printing Expense</t>
  </si>
  <si>
    <t xml:space="preserve">   71500 Interest Expense</t>
  </si>
  <si>
    <t xml:space="preserve">      71500-5 Interest Expense - Water</t>
  </si>
  <si>
    <t xml:space="preserve">      71500-6 Interest Expense - Sewer</t>
  </si>
  <si>
    <t xml:space="preserve">   Total 71500 Interest Expense</t>
  </si>
  <si>
    <t xml:space="preserve">   77500 Meetings/Conferences</t>
  </si>
  <si>
    <t xml:space="preserve">      77500-5 Meetings/Conferences-Water</t>
  </si>
  <si>
    <t xml:space="preserve">      77500-6 Meetings/Conferences-Sewer</t>
  </si>
  <si>
    <t xml:space="preserve">   Total 77500 Meetings/Conferences</t>
  </si>
  <si>
    <t>Total Expenses</t>
  </si>
  <si>
    <t>Net Operating Income</t>
  </si>
  <si>
    <t>Other Income</t>
  </si>
  <si>
    <t xml:space="preserve">   41000 Interest Income</t>
  </si>
  <si>
    <t>Total Other Income</t>
  </si>
  <si>
    <t>Other Expenses</t>
  </si>
  <si>
    <t xml:space="preserve">   72500 Capital Renewal and Replacement</t>
  </si>
  <si>
    <t>Total Other Expenses</t>
  </si>
  <si>
    <t>Net Other Income</t>
  </si>
  <si>
    <t>Net Income</t>
  </si>
  <si>
    <t>Thursday, Sep 05, 2024 02:20:49 PM GMT-7 - Accrual Basis</t>
  </si>
  <si>
    <t>Windermere Oaks Water Supply Corp</t>
  </si>
  <si>
    <t>Profit and Loss by Month</t>
  </si>
  <si>
    <t>January -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</si>
</sst>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0"/>
  <sheetViews>
    <sheetView tabSelected="1" workbookViewId="0">
      <selection sqref="A1:N1"/>
    </sheetView>
  </sheetViews>
  <sheetFormatPr defaultRowHeight="15" x14ac:dyDescent="0.25"/>
  <cols>
    <col min="1" max="1" width="40.42578125" customWidth="1"/>
    <col min="2" max="5" width="10.28515625" customWidth="1"/>
    <col min="6" max="6" width="11.140625" customWidth="1"/>
    <col min="7" max="7" width="10.28515625" customWidth="1"/>
    <col min="8" max="9" width="12" customWidth="1"/>
    <col min="10" max="10" width="10.28515625" customWidth="1"/>
    <col min="11" max="12" width="11.140625" customWidth="1"/>
    <col min="13" max="14" width="12" customWidth="1"/>
  </cols>
  <sheetData>
    <row r="1" spans="1:14" ht="18" x14ac:dyDescent="0.25">
      <c r="A1" s="10" t="s">
        <v>175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8" x14ac:dyDescent="0.25">
      <c r="A2" s="10" t="s">
        <v>176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1" t="s">
        <v>177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5" spans="1:14" x14ac:dyDescent="0.25">
      <c r="A5" s="1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</row>
    <row r="6" spans="1:14" x14ac:dyDescent="0.25">
      <c r="A6" s="3" t="s">
        <v>13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 t="s">
        <v>14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>
        <f t="shared" ref="N7:N41" si="0">(((((((((((B7)+(C7))+(D7))+(E7))+(F7))+(G7))+(H7))+(I7))+(J7))+(K7))+(L7))+(M7)</f>
        <v>0</v>
      </c>
    </row>
    <row r="8" spans="1:14" x14ac:dyDescent="0.25">
      <c r="A8" s="3" t="s">
        <v>15</v>
      </c>
      <c r="B8" s="5">
        <f>8928.6</f>
        <v>8928.6</v>
      </c>
      <c r="C8" s="5">
        <f>2235.4</f>
        <v>2235.4</v>
      </c>
      <c r="D8" s="5">
        <f>621</f>
        <v>621</v>
      </c>
      <c r="E8" s="5">
        <f>372.6</f>
        <v>372.6</v>
      </c>
      <c r="F8" s="5">
        <f>422.6</f>
        <v>422.6</v>
      </c>
      <c r="G8" s="4"/>
      <c r="H8" s="5">
        <f>179.4</f>
        <v>179.4</v>
      </c>
      <c r="I8" s="4"/>
      <c r="J8" s="4"/>
      <c r="K8" s="5">
        <f>124.2</f>
        <v>124.2</v>
      </c>
      <c r="L8" s="4"/>
      <c r="M8" s="4"/>
      <c r="N8" s="5">
        <f t="shared" si="0"/>
        <v>12883.800000000001</v>
      </c>
    </row>
    <row r="9" spans="1:14" x14ac:dyDescent="0.25">
      <c r="A9" s="3" t="s">
        <v>16</v>
      </c>
      <c r="B9" s="5">
        <f>8928.6</f>
        <v>8928.6</v>
      </c>
      <c r="C9" s="5">
        <f>2235.4</f>
        <v>2235.4</v>
      </c>
      <c r="D9" s="5">
        <f>621</f>
        <v>621</v>
      </c>
      <c r="E9" s="5">
        <f>372.6</f>
        <v>372.6</v>
      </c>
      <c r="F9" s="5">
        <f>422.6</f>
        <v>422.6</v>
      </c>
      <c r="G9" s="4"/>
      <c r="H9" s="5">
        <f>179.4</f>
        <v>179.4</v>
      </c>
      <c r="I9" s="4"/>
      <c r="J9" s="4"/>
      <c r="K9" s="5">
        <f>124.2</f>
        <v>124.2</v>
      </c>
      <c r="L9" s="4"/>
      <c r="M9" s="4"/>
      <c r="N9" s="5">
        <f t="shared" si="0"/>
        <v>12883.800000000001</v>
      </c>
    </row>
    <row r="10" spans="1:14" x14ac:dyDescent="0.25">
      <c r="A10" s="3" t="s">
        <v>17</v>
      </c>
      <c r="B10" s="6">
        <f t="shared" ref="B10:M10" si="1">((B7)+(B8))+(B9)</f>
        <v>17857.2</v>
      </c>
      <c r="C10" s="6">
        <f t="shared" si="1"/>
        <v>4470.8</v>
      </c>
      <c r="D10" s="6">
        <f t="shared" si="1"/>
        <v>1242</v>
      </c>
      <c r="E10" s="6">
        <f t="shared" si="1"/>
        <v>745.2</v>
      </c>
      <c r="F10" s="6">
        <f t="shared" si="1"/>
        <v>845.2</v>
      </c>
      <c r="G10" s="6">
        <f t="shared" si="1"/>
        <v>0</v>
      </c>
      <c r="H10" s="6">
        <f t="shared" si="1"/>
        <v>358.8</v>
      </c>
      <c r="I10" s="6">
        <f t="shared" si="1"/>
        <v>0</v>
      </c>
      <c r="J10" s="6">
        <f t="shared" si="1"/>
        <v>0</v>
      </c>
      <c r="K10" s="6">
        <f t="shared" si="1"/>
        <v>248.4</v>
      </c>
      <c r="L10" s="6">
        <f t="shared" si="1"/>
        <v>0</v>
      </c>
      <c r="M10" s="6">
        <f t="shared" si="1"/>
        <v>0</v>
      </c>
      <c r="N10" s="6">
        <f t="shared" si="0"/>
        <v>25767.600000000002</v>
      </c>
    </row>
    <row r="11" spans="1:14" x14ac:dyDescent="0.25">
      <c r="A11" s="3" t="s">
        <v>18</v>
      </c>
      <c r="B11" s="4"/>
      <c r="C11" s="4"/>
      <c r="D11" s="4"/>
      <c r="E11" s="4"/>
      <c r="F11" s="4"/>
      <c r="G11" s="4"/>
      <c r="H11" s="4"/>
      <c r="I11" s="4"/>
      <c r="J11" s="5">
        <f>414.48</f>
        <v>414.48</v>
      </c>
      <c r="K11" s="4"/>
      <c r="L11" s="5">
        <f>7324.99</f>
        <v>7324.99</v>
      </c>
      <c r="M11" s="4"/>
      <c r="N11" s="5">
        <f t="shared" si="0"/>
        <v>7739.4699999999993</v>
      </c>
    </row>
    <row r="12" spans="1:14" x14ac:dyDescent="0.25">
      <c r="A12" s="3" t="s">
        <v>19</v>
      </c>
      <c r="B12" s="5">
        <f>28817.77</f>
        <v>28817.77</v>
      </c>
      <c r="C12" s="5">
        <f>28779.43</f>
        <v>28779.43</v>
      </c>
      <c r="D12" s="5">
        <f>30247.57</f>
        <v>30247.57</v>
      </c>
      <c r="E12" s="5">
        <f>28644.3</f>
        <v>28644.3</v>
      </c>
      <c r="F12" s="5">
        <f>34371.28</f>
        <v>34371.279999999999</v>
      </c>
      <c r="G12" s="5">
        <f>28341.37</f>
        <v>28341.37</v>
      </c>
      <c r="H12" s="5">
        <f>32355.22</f>
        <v>32355.22</v>
      </c>
      <c r="I12" s="5">
        <f>38841.09</f>
        <v>38841.089999999997</v>
      </c>
      <c r="J12" s="5">
        <f>35410.12</f>
        <v>35410.120000000003</v>
      </c>
      <c r="K12" s="5">
        <f>35812.92</f>
        <v>35812.92</v>
      </c>
      <c r="L12" s="5">
        <f>26932.44</f>
        <v>26932.44</v>
      </c>
      <c r="M12" s="5">
        <f>29427.91</f>
        <v>29427.91</v>
      </c>
      <c r="N12" s="5">
        <f t="shared" si="0"/>
        <v>377981.41999999993</v>
      </c>
    </row>
    <row r="13" spans="1:14" x14ac:dyDescent="0.25">
      <c r="A13" s="3" t="s">
        <v>20</v>
      </c>
      <c r="B13" s="5">
        <f>19545.98</f>
        <v>19545.98</v>
      </c>
      <c r="C13" s="5">
        <f>19314.99</f>
        <v>19314.990000000002</v>
      </c>
      <c r="D13" s="5">
        <f>20672.34</f>
        <v>20672.34</v>
      </c>
      <c r="E13" s="5">
        <f>18975.79</f>
        <v>18975.79</v>
      </c>
      <c r="F13" s="5">
        <f>23573.16</f>
        <v>23573.16</v>
      </c>
      <c r="G13" s="5">
        <f>19087.57</f>
        <v>19087.57</v>
      </c>
      <c r="H13" s="5">
        <f>21280.67</f>
        <v>21280.67</v>
      </c>
      <c r="I13" s="5">
        <f>23143.54</f>
        <v>23143.54</v>
      </c>
      <c r="J13" s="5">
        <f>20454.73</f>
        <v>20454.73</v>
      </c>
      <c r="K13" s="5">
        <f>21352.32</f>
        <v>21352.32</v>
      </c>
      <c r="L13" s="5">
        <f>22237.82</f>
        <v>22237.82</v>
      </c>
      <c r="M13" s="5">
        <f>18509.11</f>
        <v>18509.11</v>
      </c>
      <c r="N13" s="5">
        <f t="shared" si="0"/>
        <v>248148.02000000002</v>
      </c>
    </row>
    <row r="14" spans="1:14" x14ac:dyDescent="0.25">
      <c r="A14" s="3" t="s">
        <v>21</v>
      </c>
      <c r="B14" s="6">
        <f t="shared" ref="B14:M14" si="2">((B11)+(B12))+(B13)</f>
        <v>48363.75</v>
      </c>
      <c r="C14" s="6">
        <f t="shared" si="2"/>
        <v>48094.42</v>
      </c>
      <c r="D14" s="6">
        <f t="shared" si="2"/>
        <v>50919.91</v>
      </c>
      <c r="E14" s="6">
        <f t="shared" si="2"/>
        <v>47620.09</v>
      </c>
      <c r="F14" s="6">
        <f t="shared" si="2"/>
        <v>57944.44</v>
      </c>
      <c r="G14" s="6">
        <f t="shared" si="2"/>
        <v>47428.94</v>
      </c>
      <c r="H14" s="6">
        <f t="shared" si="2"/>
        <v>53635.89</v>
      </c>
      <c r="I14" s="6">
        <f t="shared" si="2"/>
        <v>61984.63</v>
      </c>
      <c r="J14" s="6">
        <f t="shared" si="2"/>
        <v>56279.33</v>
      </c>
      <c r="K14" s="6">
        <f t="shared" si="2"/>
        <v>57165.24</v>
      </c>
      <c r="L14" s="6">
        <f t="shared" si="2"/>
        <v>56495.25</v>
      </c>
      <c r="M14" s="6">
        <f t="shared" si="2"/>
        <v>47937.020000000004</v>
      </c>
      <c r="N14" s="6">
        <f t="shared" si="0"/>
        <v>633868.91000000015</v>
      </c>
    </row>
    <row r="15" spans="1:14" x14ac:dyDescent="0.25">
      <c r="A15" s="3" t="s">
        <v>22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>
        <f t="shared" si="0"/>
        <v>0</v>
      </c>
    </row>
    <row r="16" spans="1:14" x14ac:dyDescent="0.25">
      <c r="A16" s="3" t="s">
        <v>23</v>
      </c>
      <c r="B16" s="5">
        <f>283.34</f>
        <v>283.33999999999997</v>
      </c>
      <c r="C16" s="5">
        <f>526.51</f>
        <v>526.51</v>
      </c>
      <c r="D16" s="5">
        <f>375.68</f>
        <v>375.68</v>
      </c>
      <c r="E16" s="5">
        <f>317.53</f>
        <v>317.52999999999997</v>
      </c>
      <c r="F16" s="5">
        <f>477.24</f>
        <v>477.24</v>
      </c>
      <c r="G16" s="5">
        <f>213.82</f>
        <v>213.82</v>
      </c>
      <c r="H16" s="5">
        <f>268.84</f>
        <v>268.83999999999997</v>
      </c>
      <c r="I16" s="5">
        <f>379.28</f>
        <v>379.28</v>
      </c>
      <c r="J16" s="5">
        <f>306.88</f>
        <v>306.88</v>
      </c>
      <c r="K16" s="5">
        <f>398.53</f>
        <v>398.53</v>
      </c>
      <c r="L16" s="5">
        <f>356.2</f>
        <v>356.2</v>
      </c>
      <c r="M16" s="5">
        <f>363.22</f>
        <v>363.22</v>
      </c>
      <c r="N16" s="5">
        <f t="shared" si="0"/>
        <v>4267.07</v>
      </c>
    </row>
    <row r="17" spans="1:14" x14ac:dyDescent="0.25">
      <c r="A17" s="3" t="s">
        <v>24</v>
      </c>
      <c r="B17" s="5">
        <f>201.92</f>
        <v>201.92</v>
      </c>
      <c r="C17" s="5">
        <f>337.03</f>
        <v>337.03</v>
      </c>
      <c r="D17" s="5">
        <f>270.77</f>
        <v>270.77</v>
      </c>
      <c r="E17" s="5">
        <f>233.36</f>
        <v>233.36</v>
      </c>
      <c r="F17" s="5">
        <f>370.98</f>
        <v>370.98</v>
      </c>
      <c r="G17" s="5">
        <f>143.53</f>
        <v>143.53</v>
      </c>
      <c r="H17" s="5">
        <f>186.36</f>
        <v>186.36</v>
      </c>
      <c r="I17" s="5">
        <f>246.29</f>
        <v>246.29</v>
      </c>
      <c r="J17" s="5">
        <f>168.15</f>
        <v>168.15</v>
      </c>
      <c r="K17" s="5">
        <f>221.03</f>
        <v>221.03</v>
      </c>
      <c r="L17" s="5">
        <f>226.72</f>
        <v>226.72</v>
      </c>
      <c r="M17" s="5">
        <f>228.23</f>
        <v>228.23</v>
      </c>
      <c r="N17" s="5">
        <f t="shared" si="0"/>
        <v>2834.37</v>
      </c>
    </row>
    <row r="18" spans="1:14" x14ac:dyDescent="0.25">
      <c r="A18" s="3" t="s">
        <v>25</v>
      </c>
      <c r="B18" s="6">
        <f t="shared" ref="B18:M18" si="3">((B15)+(B16))+(B17)</f>
        <v>485.26</v>
      </c>
      <c r="C18" s="6">
        <f t="shared" si="3"/>
        <v>863.54</v>
      </c>
      <c r="D18" s="6">
        <f t="shared" si="3"/>
        <v>646.45000000000005</v>
      </c>
      <c r="E18" s="6">
        <f t="shared" si="3"/>
        <v>550.89</v>
      </c>
      <c r="F18" s="6">
        <f t="shared" si="3"/>
        <v>848.22</v>
      </c>
      <c r="G18" s="6">
        <f t="shared" si="3"/>
        <v>357.35</v>
      </c>
      <c r="H18" s="6">
        <f t="shared" si="3"/>
        <v>455.2</v>
      </c>
      <c r="I18" s="6">
        <f t="shared" si="3"/>
        <v>625.56999999999994</v>
      </c>
      <c r="J18" s="6">
        <f t="shared" si="3"/>
        <v>475.03</v>
      </c>
      <c r="K18" s="6">
        <f t="shared" si="3"/>
        <v>619.55999999999995</v>
      </c>
      <c r="L18" s="6">
        <f t="shared" si="3"/>
        <v>582.91999999999996</v>
      </c>
      <c r="M18" s="6">
        <f t="shared" si="3"/>
        <v>591.45000000000005</v>
      </c>
      <c r="N18" s="6">
        <f t="shared" si="0"/>
        <v>7101.44</v>
      </c>
    </row>
    <row r="19" spans="1:14" x14ac:dyDescent="0.25">
      <c r="A19" s="3" t="s">
        <v>26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>
        <f t="shared" si="0"/>
        <v>0</v>
      </c>
    </row>
    <row r="20" spans="1:14" x14ac:dyDescent="0.25">
      <c r="A20" s="3" t="s">
        <v>27</v>
      </c>
      <c r="B20" s="5">
        <f>201.25</f>
        <v>201.25</v>
      </c>
      <c r="C20" s="5">
        <f>41763.19</f>
        <v>41763.19</v>
      </c>
      <c r="D20" s="5">
        <f>428.75</f>
        <v>428.75</v>
      </c>
      <c r="E20" s="5">
        <f>603.75</f>
        <v>603.75</v>
      </c>
      <c r="F20" s="5">
        <f>52.5</f>
        <v>52.5</v>
      </c>
      <c r="G20" s="5">
        <f>201.25</f>
        <v>201.25</v>
      </c>
      <c r="H20" s="5">
        <f>227.5</f>
        <v>227.5</v>
      </c>
      <c r="I20" s="5">
        <f>1006.25</f>
        <v>1006.25</v>
      </c>
      <c r="J20" s="5">
        <f>227.5</f>
        <v>227.5</v>
      </c>
      <c r="K20" s="5">
        <f>-201.25</f>
        <v>-201.25</v>
      </c>
      <c r="L20" s="4"/>
      <c r="M20" s="5">
        <f>0</f>
        <v>0</v>
      </c>
      <c r="N20" s="5">
        <f t="shared" si="0"/>
        <v>44510.69</v>
      </c>
    </row>
    <row r="21" spans="1:14" x14ac:dyDescent="0.25">
      <c r="A21" s="3" t="s">
        <v>28</v>
      </c>
      <c r="B21" s="5">
        <f>201.25</f>
        <v>201.25</v>
      </c>
      <c r="C21" s="5">
        <f>41763.18</f>
        <v>41763.18</v>
      </c>
      <c r="D21" s="5">
        <f>428.75</f>
        <v>428.75</v>
      </c>
      <c r="E21" s="5">
        <f>603.75</f>
        <v>603.75</v>
      </c>
      <c r="F21" s="5">
        <f>52.5</f>
        <v>52.5</v>
      </c>
      <c r="G21" s="5">
        <f>201.25</f>
        <v>201.25</v>
      </c>
      <c r="H21" s="5">
        <f>227.5</f>
        <v>227.5</v>
      </c>
      <c r="I21" s="5">
        <f>1006.25</f>
        <v>1006.25</v>
      </c>
      <c r="J21" s="5">
        <f>227.5</f>
        <v>227.5</v>
      </c>
      <c r="K21" s="5">
        <f>-201.25</f>
        <v>-201.25</v>
      </c>
      <c r="L21" s="4"/>
      <c r="M21" s="5">
        <f>0</f>
        <v>0</v>
      </c>
      <c r="N21" s="5">
        <f t="shared" si="0"/>
        <v>44510.68</v>
      </c>
    </row>
    <row r="22" spans="1:14" x14ac:dyDescent="0.25">
      <c r="A22" s="3" t="s">
        <v>29</v>
      </c>
      <c r="B22" s="6">
        <f t="shared" ref="B22:M22" si="4">((B19)+(B20))+(B21)</f>
        <v>402.5</v>
      </c>
      <c r="C22" s="6">
        <f t="shared" si="4"/>
        <v>83526.37</v>
      </c>
      <c r="D22" s="6">
        <f t="shared" si="4"/>
        <v>857.5</v>
      </c>
      <c r="E22" s="6">
        <f t="shared" si="4"/>
        <v>1207.5</v>
      </c>
      <c r="F22" s="6">
        <f t="shared" si="4"/>
        <v>105</v>
      </c>
      <c r="G22" s="6">
        <f t="shared" si="4"/>
        <v>402.5</v>
      </c>
      <c r="H22" s="6">
        <f t="shared" si="4"/>
        <v>455</v>
      </c>
      <c r="I22" s="6">
        <f t="shared" si="4"/>
        <v>2012.5</v>
      </c>
      <c r="J22" s="6">
        <f t="shared" si="4"/>
        <v>455</v>
      </c>
      <c r="K22" s="6">
        <f t="shared" si="4"/>
        <v>-402.5</v>
      </c>
      <c r="L22" s="6">
        <f t="shared" si="4"/>
        <v>0</v>
      </c>
      <c r="M22" s="6">
        <f t="shared" si="4"/>
        <v>0</v>
      </c>
      <c r="N22" s="6">
        <f t="shared" si="0"/>
        <v>89021.37</v>
      </c>
    </row>
    <row r="23" spans="1:14" x14ac:dyDescent="0.25">
      <c r="A23" s="3" t="s">
        <v>30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>
        <f t="shared" si="0"/>
        <v>0</v>
      </c>
    </row>
    <row r="24" spans="1:14" x14ac:dyDescent="0.25">
      <c r="A24" s="3" t="s">
        <v>31</v>
      </c>
      <c r="B24" s="4"/>
      <c r="C24" s="4"/>
      <c r="D24" s="4"/>
      <c r="E24" s="4"/>
      <c r="F24" s="4"/>
      <c r="G24" s="4"/>
      <c r="H24" s="4"/>
      <c r="I24" s="5">
        <f>20.13</f>
        <v>20.13</v>
      </c>
      <c r="J24" s="4"/>
      <c r="K24" s="4"/>
      <c r="L24" s="4"/>
      <c r="M24" s="4"/>
      <c r="N24" s="5">
        <f t="shared" si="0"/>
        <v>20.13</v>
      </c>
    </row>
    <row r="25" spans="1:14" x14ac:dyDescent="0.25">
      <c r="A25" s="3" t="s">
        <v>32</v>
      </c>
      <c r="B25" s="4"/>
      <c r="C25" s="4"/>
      <c r="D25" s="4"/>
      <c r="E25" s="4"/>
      <c r="F25" s="4"/>
      <c r="G25" s="4"/>
      <c r="H25" s="4"/>
      <c r="I25" s="5">
        <f>20.12</f>
        <v>20.12</v>
      </c>
      <c r="J25" s="4"/>
      <c r="K25" s="4"/>
      <c r="L25" s="4"/>
      <c r="M25" s="4"/>
      <c r="N25" s="5">
        <f t="shared" si="0"/>
        <v>20.12</v>
      </c>
    </row>
    <row r="26" spans="1:14" x14ac:dyDescent="0.25">
      <c r="A26" s="3" t="s">
        <v>33</v>
      </c>
      <c r="B26" s="6">
        <f t="shared" ref="B26:M26" si="5">((B23)+(B24))+(B25)</f>
        <v>0</v>
      </c>
      <c r="C26" s="6">
        <f t="shared" si="5"/>
        <v>0</v>
      </c>
      <c r="D26" s="6">
        <f t="shared" si="5"/>
        <v>0</v>
      </c>
      <c r="E26" s="6">
        <f t="shared" si="5"/>
        <v>0</v>
      </c>
      <c r="F26" s="6">
        <f t="shared" si="5"/>
        <v>0</v>
      </c>
      <c r="G26" s="6">
        <f t="shared" si="5"/>
        <v>0</v>
      </c>
      <c r="H26" s="6">
        <f t="shared" si="5"/>
        <v>0</v>
      </c>
      <c r="I26" s="6">
        <f t="shared" si="5"/>
        <v>40.25</v>
      </c>
      <c r="J26" s="6">
        <f t="shared" si="5"/>
        <v>0</v>
      </c>
      <c r="K26" s="6">
        <f t="shared" si="5"/>
        <v>0</v>
      </c>
      <c r="L26" s="6">
        <f t="shared" si="5"/>
        <v>0</v>
      </c>
      <c r="M26" s="6">
        <f t="shared" si="5"/>
        <v>0</v>
      </c>
      <c r="N26" s="6">
        <f t="shared" si="0"/>
        <v>40.25</v>
      </c>
    </row>
    <row r="27" spans="1:14" x14ac:dyDescent="0.25">
      <c r="A27" s="3" t="s">
        <v>34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>
        <f t="shared" si="0"/>
        <v>0</v>
      </c>
    </row>
    <row r="28" spans="1:14" x14ac:dyDescent="0.25">
      <c r="A28" s="3" t="s">
        <v>35</v>
      </c>
      <c r="B28" s="4"/>
      <c r="C28" s="4"/>
      <c r="D28" s="5">
        <f>4025</f>
        <v>4025</v>
      </c>
      <c r="E28" s="5">
        <f>4600</f>
        <v>4600</v>
      </c>
      <c r="F28" s="5">
        <f>2300</f>
        <v>2300</v>
      </c>
      <c r="G28" s="5">
        <f>2300</f>
        <v>2300</v>
      </c>
      <c r="H28" s="5">
        <f>2300</f>
        <v>2300</v>
      </c>
      <c r="I28" s="5">
        <f>2300</f>
        <v>2300</v>
      </c>
      <c r="J28" s="4"/>
      <c r="K28" s="4"/>
      <c r="L28" s="4"/>
      <c r="M28" s="4"/>
      <c r="N28" s="5">
        <f t="shared" si="0"/>
        <v>17825</v>
      </c>
    </row>
    <row r="29" spans="1:14" x14ac:dyDescent="0.25">
      <c r="A29" s="3" t="s">
        <v>36</v>
      </c>
      <c r="B29" s="4"/>
      <c r="C29" s="4"/>
      <c r="D29" s="5">
        <f>4025</f>
        <v>4025</v>
      </c>
      <c r="E29" s="5">
        <f>4600</f>
        <v>4600</v>
      </c>
      <c r="F29" s="5">
        <f>2300</f>
        <v>2300</v>
      </c>
      <c r="G29" s="5">
        <f>2300</f>
        <v>2300</v>
      </c>
      <c r="H29" s="5">
        <f>2300</f>
        <v>2300</v>
      </c>
      <c r="I29" s="5">
        <f>2300</f>
        <v>2300</v>
      </c>
      <c r="J29" s="4"/>
      <c r="K29" s="4"/>
      <c r="L29" s="4"/>
      <c r="M29" s="4"/>
      <c r="N29" s="5">
        <f t="shared" si="0"/>
        <v>17825</v>
      </c>
    </row>
    <row r="30" spans="1:14" x14ac:dyDescent="0.25">
      <c r="A30" s="3" t="s">
        <v>37</v>
      </c>
      <c r="B30" s="6">
        <f t="shared" ref="B30:M30" si="6">((B27)+(B28))+(B29)</f>
        <v>0</v>
      </c>
      <c r="C30" s="6">
        <f t="shared" si="6"/>
        <v>0</v>
      </c>
      <c r="D30" s="6">
        <f t="shared" si="6"/>
        <v>8050</v>
      </c>
      <c r="E30" s="6">
        <f t="shared" si="6"/>
        <v>9200</v>
      </c>
      <c r="F30" s="6">
        <f t="shared" si="6"/>
        <v>4600</v>
      </c>
      <c r="G30" s="6">
        <f t="shared" si="6"/>
        <v>4600</v>
      </c>
      <c r="H30" s="6">
        <f t="shared" si="6"/>
        <v>4600</v>
      </c>
      <c r="I30" s="6">
        <f t="shared" si="6"/>
        <v>4600</v>
      </c>
      <c r="J30" s="6">
        <f t="shared" si="6"/>
        <v>0</v>
      </c>
      <c r="K30" s="6">
        <f t="shared" si="6"/>
        <v>0</v>
      </c>
      <c r="L30" s="6">
        <f t="shared" si="6"/>
        <v>0</v>
      </c>
      <c r="M30" s="6">
        <f t="shared" si="6"/>
        <v>0</v>
      </c>
      <c r="N30" s="6">
        <f t="shared" si="0"/>
        <v>35650</v>
      </c>
    </row>
    <row r="31" spans="1:14" x14ac:dyDescent="0.25">
      <c r="A31" s="3" t="s">
        <v>38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>
        <f t="shared" si="0"/>
        <v>0</v>
      </c>
    </row>
    <row r="32" spans="1:14" x14ac:dyDescent="0.25">
      <c r="A32" s="3" t="s">
        <v>39</v>
      </c>
      <c r="B32" s="4"/>
      <c r="C32" s="4"/>
      <c r="D32" s="5">
        <f>5462.5</f>
        <v>5462.5</v>
      </c>
      <c r="E32" s="5">
        <f>1725</f>
        <v>1725</v>
      </c>
      <c r="F32" s="5">
        <f t="shared" ref="F32:I33" si="7">862.5</f>
        <v>862.5</v>
      </c>
      <c r="G32" s="5">
        <f t="shared" si="7"/>
        <v>862.5</v>
      </c>
      <c r="H32" s="5">
        <f t="shared" si="7"/>
        <v>862.5</v>
      </c>
      <c r="I32" s="5">
        <f t="shared" si="7"/>
        <v>862.5</v>
      </c>
      <c r="J32" s="4"/>
      <c r="K32" s="4"/>
      <c r="L32" s="4"/>
      <c r="M32" s="4"/>
      <c r="N32" s="5">
        <f t="shared" si="0"/>
        <v>10637.5</v>
      </c>
    </row>
    <row r="33" spans="1:14" x14ac:dyDescent="0.25">
      <c r="A33" s="3" t="s">
        <v>40</v>
      </c>
      <c r="B33" s="4"/>
      <c r="C33" s="4"/>
      <c r="D33" s="5">
        <f>5462.5</f>
        <v>5462.5</v>
      </c>
      <c r="E33" s="5">
        <f>1725</f>
        <v>1725</v>
      </c>
      <c r="F33" s="5">
        <f t="shared" si="7"/>
        <v>862.5</v>
      </c>
      <c r="G33" s="5">
        <f t="shared" si="7"/>
        <v>862.5</v>
      </c>
      <c r="H33" s="5">
        <f t="shared" si="7"/>
        <v>862.5</v>
      </c>
      <c r="I33" s="5">
        <f t="shared" si="7"/>
        <v>862.5</v>
      </c>
      <c r="J33" s="4"/>
      <c r="K33" s="4"/>
      <c r="L33" s="4"/>
      <c r="M33" s="4"/>
      <c r="N33" s="5">
        <f t="shared" si="0"/>
        <v>10637.5</v>
      </c>
    </row>
    <row r="34" spans="1:14" x14ac:dyDescent="0.25">
      <c r="A34" s="3" t="s">
        <v>41</v>
      </c>
      <c r="B34" s="6">
        <f t="shared" ref="B34:M34" si="8">((B31)+(B32))+(B33)</f>
        <v>0</v>
      </c>
      <c r="C34" s="6">
        <f t="shared" si="8"/>
        <v>0</v>
      </c>
      <c r="D34" s="6">
        <f t="shared" si="8"/>
        <v>10925</v>
      </c>
      <c r="E34" s="6">
        <f t="shared" si="8"/>
        <v>3450</v>
      </c>
      <c r="F34" s="6">
        <f t="shared" si="8"/>
        <v>1725</v>
      </c>
      <c r="G34" s="6">
        <f t="shared" si="8"/>
        <v>1725</v>
      </c>
      <c r="H34" s="6">
        <f t="shared" si="8"/>
        <v>1725</v>
      </c>
      <c r="I34" s="6">
        <f t="shared" si="8"/>
        <v>1725</v>
      </c>
      <c r="J34" s="6">
        <f t="shared" si="8"/>
        <v>0</v>
      </c>
      <c r="K34" s="6">
        <f t="shared" si="8"/>
        <v>0</v>
      </c>
      <c r="L34" s="6">
        <f t="shared" si="8"/>
        <v>0</v>
      </c>
      <c r="M34" s="6">
        <f t="shared" si="8"/>
        <v>0</v>
      </c>
      <c r="N34" s="6">
        <f t="shared" si="0"/>
        <v>21275</v>
      </c>
    </row>
    <row r="35" spans="1:14" x14ac:dyDescent="0.25">
      <c r="A35" s="3" t="s">
        <v>42</v>
      </c>
      <c r="B35" s="4"/>
      <c r="C35" s="4"/>
      <c r="D35" s="4"/>
      <c r="E35" s="4"/>
      <c r="F35" s="4"/>
      <c r="G35" s="5">
        <f>678812.05</f>
        <v>678812.05</v>
      </c>
      <c r="H35" s="4"/>
      <c r="I35" s="4"/>
      <c r="J35" s="4"/>
      <c r="K35" s="4"/>
      <c r="L35" s="4"/>
      <c r="M35" s="4"/>
      <c r="N35" s="5">
        <f t="shared" si="0"/>
        <v>678812.05</v>
      </c>
    </row>
    <row r="36" spans="1:14" x14ac:dyDescent="0.25">
      <c r="A36" s="3" t="s">
        <v>43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>
        <f t="shared" si="0"/>
        <v>0</v>
      </c>
    </row>
    <row r="37" spans="1:14" x14ac:dyDescent="0.25">
      <c r="A37" s="3" t="s">
        <v>44</v>
      </c>
      <c r="B37" s="4"/>
      <c r="C37" s="5">
        <f>-1921.17</f>
        <v>-1921.17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5">
        <f t="shared" si="0"/>
        <v>-1921.17</v>
      </c>
    </row>
    <row r="38" spans="1:14" x14ac:dyDescent="0.25">
      <c r="A38" s="3" t="s">
        <v>45</v>
      </c>
      <c r="B38" s="4"/>
      <c r="C38" s="5">
        <f>-1280.78</f>
        <v>-1280.78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5">
        <f t="shared" si="0"/>
        <v>-1280.78</v>
      </c>
    </row>
    <row r="39" spans="1:14" x14ac:dyDescent="0.25">
      <c r="A39" s="3" t="s">
        <v>46</v>
      </c>
      <c r="B39" s="6">
        <f t="shared" ref="B39:M39" si="9">((B36)+(B37))+(B38)</f>
        <v>0</v>
      </c>
      <c r="C39" s="6">
        <f t="shared" si="9"/>
        <v>-3201.95</v>
      </c>
      <c r="D39" s="6">
        <f t="shared" si="9"/>
        <v>0</v>
      </c>
      <c r="E39" s="6">
        <f t="shared" si="9"/>
        <v>0</v>
      </c>
      <c r="F39" s="6">
        <f t="shared" si="9"/>
        <v>0</v>
      </c>
      <c r="G39" s="6">
        <f t="shared" si="9"/>
        <v>0</v>
      </c>
      <c r="H39" s="6">
        <f t="shared" si="9"/>
        <v>0</v>
      </c>
      <c r="I39" s="6">
        <f t="shared" si="9"/>
        <v>0</v>
      </c>
      <c r="J39" s="6">
        <f t="shared" si="9"/>
        <v>0</v>
      </c>
      <c r="K39" s="6">
        <f t="shared" si="9"/>
        <v>0</v>
      </c>
      <c r="L39" s="6">
        <f t="shared" si="9"/>
        <v>0</v>
      </c>
      <c r="M39" s="6">
        <f t="shared" si="9"/>
        <v>0</v>
      </c>
      <c r="N39" s="6">
        <f t="shared" si="0"/>
        <v>-3201.95</v>
      </c>
    </row>
    <row r="40" spans="1:14" x14ac:dyDescent="0.25">
      <c r="A40" s="3" t="s">
        <v>47</v>
      </c>
      <c r="B40" s="4"/>
      <c r="C40" s="4"/>
      <c r="D40" s="5">
        <f>3939.96</f>
        <v>3939.96</v>
      </c>
      <c r="E40" s="4"/>
      <c r="F40" s="4"/>
      <c r="G40" s="4"/>
      <c r="H40" s="4"/>
      <c r="I40" s="5">
        <f>35</f>
        <v>35</v>
      </c>
      <c r="J40" s="4"/>
      <c r="K40" s="4"/>
      <c r="L40" s="4"/>
      <c r="M40" s="4"/>
      <c r="N40" s="5">
        <f t="shared" si="0"/>
        <v>3974.96</v>
      </c>
    </row>
    <row r="41" spans="1:14" x14ac:dyDescent="0.25">
      <c r="A41" s="3" t="s">
        <v>48</v>
      </c>
      <c r="B41" s="6">
        <f t="shared" ref="B41:M41" si="10">(((((((((B10)+(B14))+(B18))+(B22))+(B26))+(B30))+(B34))+(B35))+(B39))+(B40)</f>
        <v>67108.709999999992</v>
      </c>
      <c r="C41" s="6">
        <f t="shared" si="10"/>
        <v>133753.18</v>
      </c>
      <c r="D41" s="6">
        <f t="shared" si="10"/>
        <v>76580.820000000007</v>
      </c>
      <c r="E41" s="6">
        <f t="shared" si="10"/>
        <v>62773.679999999993</v>
      </c>
      <c r="F41" s="6">
        <f t="shared" si="10"/>
        <v>66067.86</v>
      </c>
      <c r="G41" s="6">
        <f t="shared" si="10"/>
        <v>733325.84000000008</v>
      </c>
      <c r="H41" s="6">
        <f t="shared" si="10"/>
        <v>61229.89</v>
      </c>
      <c r="I41" s="6">
        <f t="shared" si="10"/>
        <v>71022.95</v>
      </c>
      <c r="J41" s="6">
        <f t="shared" si="10"/>
        <v>57209.36</v>
      </c>
      <c r="K41" s="6">
        <f t="shared" si="10"/>
        <v>57630.7</v>
      </c>
      <c r="L41" s="6">
        <f t="shared" si="10"/>
        <v>57078.17</v>
      </c>
      <c r="M41" s="6">
        <f t="shared" si="10"/>
        <v>48528.47</v>
      </c>
      <c r="N41" s="6">
        <f t="shared" si="0"/>
        <v>1492309.63</v>
      </c>
    </row>
    <row r="42" spans="1:14" x14ac:dyDescent="0.25">
      <c r="A42" s="3" t="s">
        <v>49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3" t="s">
        <v>50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">
        <f t="shared" ref="N43:N70" si="11">(((((((((((B43)+(C43))+(D43))+(E43))+(F43))+(G43))+(H43))+(I43))+(J43))+(K43))+(L43))+(M43)</f>
        <v>0</v>
      </c>
    </row>
    <row r="44" spans="1:14" x14ac:dyDescent="0.25">
      <c r="A44" s="3" t="s">
        <v>51</v>
      </c>
      <c r="B44" s="5">
        <f t="shared" ref="B44:K44" si="12">5889.9</f>
        <v>5889.9</v>
      </c>
      <c r="C44" s="5">
        <f t="shared" si="12"/>
        <v>5889.9</v>
      </c>
      <c r="D44" s="5">
        <f t="shared" si="12"/>
        <v>5889.9</v>
      </c>
      <c r="E44" s="5">
        <f t="shared" si="12"/>
        <v>5889.9</v>
      </c>
      <c r="F44" s="5">
        <f t="shared" si="12"/>
        <v>5889.9</v>
      </c>
      <c r="G44" s="5">
        <f t="shared" si="12"/>
        <v>5889.9</v>
      </c>
      <c r="H44" s="5">
        <f t="shared" si="12"/>
        <v>5889.9</v>
      </c>
      <c r="I44" s="5">
        <f t="shared" si="12"/>
        <v>5889.9</v>
      </c>
      <c r="J44" s="5">
        <f t="shared" si="12"/>
        <v>5889.9</v>
      </c>
      <c r="K44" s="5">
        <f t="shared" si="12"/>
        <v>5889.9</v>
      </c>
      <c r="L44" s="5">
        <f>6259.9</f>
        <v>6259.9</v>
      </c>
      <c r="M44" s="5">
        <f>5859.9</f>
        <v>5859.9</v>
      </c>
      <c r="N44" s="5">
        <f t="shared" si="11"/>
        <v>71018.8</v>
      </c>
    </row>
    <row r="45" spans="1:14" x14ac:dyDescent="0.25">
      <c r="A45" s="3" t="s">
        <v>52</v>
      </c>
      <c r="B45" s="5">
        <f t="shared" ref="B45:K45" si="13">3926.6</f>
        <v>3926.6</v>
      </c>
      <c r="C45" s="5">
        <f t="shared" si="13"/>
        <v>3926.6</v>
      </c>
      <c r="D45" s="5">
        <f t="shared" si="13"/>
        <v>3926.6</v>
      </c>
      <c r="E45" s="5">
        <f t="shared" si="13"/>
        <v>3926.6</v>
      </c>
      <c r="F45" s="5">
        <f t="shared" si="13"/>
        <v>3926.6</v>
      </c>
      <c r="G45" s="5">
        <f t="shared" si="13"/>
        <v>3926.6</v>
      </c>
      <c r="H45" s="5">
        <f t="shared" si="13"/>
        <v>3926.6</v>
      </c>
      <c r="I45" s="5">
        <f t="shared" si="13"/>
        <v>3926.6</v>
      </c>
      <c r="J45" s="5">
        <f t="shared" si="13"/>
        <v>3926.6</v>
      </c>
      <c r="K45" s="5">
        <f t="shared" si="13"/>
        <v>3926.6</v>
      </c>
      <c r="L45" s="5">
        <f>3906.6</f>
        <v>3906.6</v>
      </c>
      <c r="M45" s="5">
        <f>3906.6</f>
        <v>3906.6</v>
      </c>
      <c r="N45" s="5">
        <f t="shared" si="11"/>
        <v>47079.19999999999</v>
      </c>
    </row>
    <row r="46" spans="1:14" x14ac:dyDescent="0.25">
      <c r="A46" s="3" t="s">
        <v>53</v>
      </c>
      <c r="B46" s="6">
        <f t="shared" ref="B46:M46" si="14">((B43)+(B44))+(B45)</f>
        <v>9816.5</v>
      </c>
      <c r="C46" s="6">
        <f t="shared" si="14"/>
        <v>9816.5</v>
      </c>
      <c r="D46" s="6">
        <f t="shared" si="14"/>
        <v>9816.5</v>
      </c>
      <c r="E46" s="6">
        <f t="shared" si="14"/>
        <v>9816.5</v>
      </c>
      <c r="F46" s="6">
        <f t="shared" si="14"/>
        <v>9816.5</v>
      </c>
      <c r="G46" s="6">
        <f t="shared" si="14"/>
        <v>9816.5</v>
      </c>
      <c r="H46" s="6">
        <f t="shared" si="14"/>
        <v>9816.5</v>
      </c>
      <c r="I46" s="6">
        <f t="shared" si="14"/>
        <v>9816.5</v>
      </c>
      <c r="J46" s="6">
        <f t="shared" si="14"/>
        <v>9816.5</v>
      </c>
      <c r="K46" s="6">
        <f t="shared" si="14"/>
        <v>9816.5</v>
      </c>
      <c r="L46" s="6">
        <f t="shared" si="14"/>
        <v>10166.5</v>
      </c>
      <c r="M46" s="6">
        <f t="shared" si="14"/>
        <v>9766.5</v>
      </c>
      <c r="N46" s="6">
        <f t="shared" si="11"/>
        <v>118098</v>
      </c>
    </row>
    <row r="47" spans="1:14" x14ac:dyDescent="0.25">
      <c r="A47" s="3" t="s">
        <v>54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">
        <f t="shared" si="11"/>
        <v>0</v>
      </c>
    </row>
    <row r="48" spans="1:14" x14ac:dyDescent="0.25">
      <c r="A48" s="3" t="s">
        <v>55</v>
      </c>
      <c r="B48" s="4"/>
      <c r="C48" s="5">
        <f>1964.02</f>
        <v>1964.02</v>
      </c>
      <c r="D48" s="5">
        <f>809.01</f>
        <v>809.01</v>
      </c>
      <c r="E48" s="4"/>
      <c r="F48" s="5">
        <f>1155.01</f>
        <v>1155.01</v>
      </c>
      <c r="G48" s="4"/>
      <c r="H48" s="4"/>
      <c r="I48" s="5">
        <f>4433.66</f>
        <v>4433.66</v>
      </c>
      <c r="J48" s="5">
        <f>4005.54</f>
        <v>4005.54</v>
      </c>
      <c r="K48" s="5">
        <f>3881.49</f>
        <v>3881.49</v>
      </c>
      <c r="L48" s="4"/>
      <c r="M48" s="5">
        <f>2555.62</f>
        <v>2555.62</v>
      </c>
      <c r="N48" s="5">
        <f t="shared" si="11"/>
        <v>18804.350000000002</v>
      </c>
    </row>
    <row r="49" spans="1:14" x14ac:dyDescent="0.25">
      <c r="A49" s="3" t="s">
        <v>56</v>
      </c>
      <c r="B49" s="4"/>
      <c r="C49" s="4"/>
      <c r="D49" s="4"/>
      <c r="E49" s="4"/>
      <c r="F49" s="5">
        <f>598.03</f>
        <v>598.03</v>
      </c>
      <c r="G49" s="4"/>
      <c r="H49" s="5">
        <f>551.17</f>
        <v>551.16999999999996</v>
      </c>
      <c r="I49" s="4"/>
      <c r="J49" s="4"/>
      <c r="K49" s="4"/>
      <c r="L49" s="4"/>
      <c r="M49" s="4"/>
      <c r="N49" s="5">
        <f t="shared" si="11"/>
        <v>1149.1999999999998</v>
      </c>
    </row>
    <row r="50" spans="1:14" x14ac:dyDescent="0.25">
      <c r="A50" s="3" t="s">
        <v>57</v>
      </c>
      <c r="B50" s="6">
        <f t="shared" ref="B50:M50" si="15">((B47)+(B48))+(B49)</f>
        <v>0</v>
      </c>
      <c r="C50" s="6">
        <f t="shared" si="15"/>
        <v>1964.02</v>
      </c>
      <c r="D50" s="6">
        <f t="shared" si="15"/>
        <v>809.01</v>
      </c>
      <c r="E50" s="6">
        <f t="shared" si="15"/>
        <v>0</v>
      </c>
      <c r="F50" s="6">
        <f t="shared" si="15"/>
        <v>1753.04</v>
      </c>
      <c r="G50" s="6">
        <f t="shared" si="15"/>
        <v>0</v>
      </c>
      <c r="H50" s="6">
        <f t="shared" si="15"/>
        <v>551.16999999999996</v>
      </c>
      <c r="I50" s="6">
        <f t="shared" si="15"/>
        <v>4433.66</v>
      </c>
      <c r="J50" s="6">
        <f t="shared" si="15"/>
        <v>4005.54</v>
      </c>
      <c r="K50" s="6">
        <f t="shared" si="15"/>
        <v>3881.49</v>
      </c>
      <c r="L50" s="6">
        <f t="shared" si="15"/>
        <v>0</v>
      </c>
      <c r="M50" s="6">
        <f t="shared" si="15"/>
        <v>2555.62</v>
      </c>
      <c r="N50" s="6">
        <f t="shared" si="11"/>
        <v>19953.55</v>
      </c>
    </row>
    <row r="51" spans="1:14" x14ac:dyDescent="0.25">
      <c r="A51" s="3" t="s">
        <v>58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">
        <f t="shared" si="11"/>
        <v>0</v>
      </c>
    </row>
    <row r="52" spans="1:14" x14ac:dyDescent="0.25">
      <c r="A52" s="3" t="s">
        <v>59</v>
      </c>
      <c r="B52" s="5">
        <f>1286.18</f>
        <v>1286.18</v>
      </c>
      <c r="C52" s="5">
        <f>844.3</f>
        <v>844.3</v>
      </c>
      <c r="D52" s="5">
        <f>959.81</f>
        <v>959.81</v>
      </c>
      <c r="E52" s="5">
        <f>876.7</f>
        <v>876.7</v>
      </c>
      <c r="F52" s="5">
        <f>871.81</f>
        <v>871.81</v>
      </c>
      <c r="G52" s="5">
        <f>871.81</f>
        <v>871.81</v>
      </c>
      <c r="H52" s="5">
        <f>1003.83</f>
        <v>1003.83</v>
      </c>
      <c r="I52" s="5">
        <f>1272.75</f>
        <v>1272.75</v>
      </c>
      <c r="J52" s="5">
        <f>1380.3</f>
        <v>1380.3</v>
      </c>
      <c r="K52" s="5">
        <f>1355.87</f>
        <v>1355.87</v>
      </c>
      <c r="L52" s="5">
        <f>1331.36</f>
        <v>1331.36</v>
      </c>
      <c r="M52" s="5">
        <f>2599.48</f>
        <v>2599.48</v>
      </c>
      <c r="N52" s="5">
        <f t="shared" si="11"/>
        <v>14654.199999999997</v>
      </c>
    </row>
    <row r="53" spans="1:14" x14ac:dyDescent="0.25">
      <c r="A53" s="3" t="s">
        <v>60</v>
      </c>
      <c r="B53" s="5">
        <f>1270.21</f>
        <v>1270.21</v>
      </c>
      <c r="C53" s="5">
        <f>1009.23</f>
        <v>1009.23</v>
      </c>
      <c r="D53" s="5">
        <f>1023.94</f>
        <v>1023.94</v>
      </c>
      <c r="E53" s="5">
        <f>941.78</f>
        <v>941.78</v>
      </c>
      <c r="F53" s="5">
        <f>1004.15</f>
        <v>1004.15</v>
      </c>
      <c r="G53" s="5">
        <f>923.55</f>
        <v>923.55</v>
      </c>
      <c r="H53" s="5">
        <f>895.8</f>
        <v>895.8</v>
      </c>
      <c r="I53" s="5">
        <f>959.77</f>
        <v>959.77</v>
      </c>
      <c r="J53" s="5">
        <f>963.99</f>
        <v>963.99</v>
      </c>
      <c r="K53" s="5">
        <f>1020.72</f>
        <v>1020.72</v>
      </c>
      <c r="L53" s="5">
        <f>1060.15</f>
        <v>1060.1500000000001</v>
      </c>
      <c r="M53" s="5">
        <f>2020.03</f>
        <v>2020.03</v>
      </c>
      <c r="N53" s="5">
        <f t="shared" si="11"/>
        <v>13093.32</v>
      </c>
    </row>
    <row r="54" spans="1:14" x14ac:dyDescent="0.25">
      <c r="A54" s="3" t="s">
        <v>61</v>
      </c>
      <c r="B54" s="6">
        <f t="shared" ref="B54:M54" si="16">((B51)+(B52))+(B53)</f>
        <v>2556.3900000000003</v>
      </c>
      <c r="C54" s="6">
        <f t="shared" si="16"/>
        <v>1853.53</v>
      </c>
      <c r="D54" s="6">
        <f t="shared" si="16"/>
        <v>1983.75</v>
      </c>
      <c r="E54" s="6">
        <f t="shared" si="16"/>
        <v>1818.48</v>
      </c>
      <c r="F54" s="6">
        <f t="shared" si="16"/>
        <v>1875.96</v>
      </c>
      <c r="G54" s="6">
        <f t="shared" si="16"/>
        <v>1795.36</v>
      </c>
      <c r="H54" s="6">
        <f t="shared" si="16"/>
        <v>1899.63</v>
      </c>
      <c r="I54" s="6">
        <f t="shared" si="16"/>
        <v>2232.52</v>
      </c>
      <c r="J54" s="6">
        <f t="shared" si="16"/>
        <v>2344.29</v>
      </c>
      <c r="K54" s="6">
        <f t="shared" si="16"/>
        <v>2376.59</v>
      </c>
      <c r="L54" s="6">
        <f t="shared" si="16"/>
        <v>2391.5100000000002</v>
      </c>
      <c r="M54" s="6">
        <f t="shared" si="16"/>
        <v>4619.51</v>
      </c>
      <c r="N54" s="6">
        <f t="shared" si="11"/>
        <v>27747.520000000004</v>
      </c>
    </row>
    <row r="55" spans="1:14" x14ac:dyDescent="0.25">
      <c r="A55" s="3" t="s">
        <v>62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">
        <f t="shared" si="11"/>
        <v>0</v>
      </c>
    </row>
    <row r="56" spans="1:14" x14ac:dyDescent="0.25">
      <c r="A56" s="3" t="s">
        <v>63</v>
      </c>
      <c r="B56" s="4"/>
      <c r="C56" s="4"/>
      <c r="D56" s="4"/>
      <c r="E56" s="4"/>
      <c r="F56" s="4"/>
      <c r="G56" s="5">
        <f>862.87</f>
        <v>862.87</v>
      </c>
      <c r="H56" s="5">
        <f>1766.68</f>
        <v>1766.68</v>
      </c>
      <c r="I56" s="4"/>
      <c r="J56" s="4"/>
      <c r="K56" s="4"/>
      <c r="L56" s="5">
        <f>12202.52</f>
        <v>12202.52</v>
      </c>
      <c r="M56" s="4"/>
      <c r="N56" s="5">
        <f t="shared" si="11"/>
        <v>14832.07</v>
      </c>
    </row>
    <row r="57" spans="1:14" x14ac:dyDescent="0.25">
      <c r="A57" s="3" t="s">
        <v>64</v>
      </c>
      <c r="B57" s="5">
        <f>776.8</f>
        <v>776.8</v>
      </c>
      <c r="C57" s="4"/>
      <c r="D57" s="4"/>
      <c r="E57" s="4"/>
      <c r="F57" s="5">
        <f>1143.64</f>
        <v>1143.6400000000001</v>
      </c>
      <c r="G57" s="5">
        <f>2062.1</f>
        <v>2062.1</v>
      </c>
      <c r="H57" s="5">
        <f>2215.25</f>
        <v>2215.25</v>
      </c>
      <c r="I57" s="4"/>
      <c r="J57" s="4"/>
      <c r="K57" s="4"/>
      <c r="L57" s="5">
        <f>904.42</f>
        <v>904.42</v>
      </c>
      <c r="M57" s="5">
        <f>734.82</f>
        <v>734.82</v>
      </c>
      <c r="N57" s="5">
        <f t="shared" si="11"/>
        <v>7837.03</v>
      </c>
    </row>
    <row r="58" spans="1:14" x14ac:dyDescent="0.25">
      <c r="A58" s="3" t="s">
        <v>65</v>
      </c>
      <c r="B58" s="6">
        <f t="shared" ref="B58:M58" si="17">((B55)+(B56))+(B57)</f>
        <v>776.8</v>
      </c>
      <c r="C58" s="6">
        <f t="shared" si="17"/>
        <v>0</v>
      </c>
      <c r="D58" s="6">
        <f t="shared" si="17"/>
        <v>0</v>
      </c>
      <c r="E58" s="6">
        <f t="shared" si="17"/>
        <v>0</v>
      </c>
      <c r="F58" s="6">
        <f t="shared" si="17"/>
        <v>1143.6400000000001</v>
      </c>
      <c r="G58" s="6">
        <f t="shared" si="17"/>
        <v>2924.97</v>
      </c>
      <c r="H58" s="6">
        <f t="shared" si="17"/>
        <v>3981.9300000000003</v>
      </c>
      <c r="I58" s="6">
        <f t="shared" si="17"/>
        <v>0</v>
      </c>
      <c r="J58" s="6">
        <f t="shared" si="17"/>
        <v>0</v>
      </c>
      <c r="K58" s="6">
        <f t="shared" si="17"/>
        <v>0</v>
      </c>
      <c r="L58" s="6">
        <f t="shared" si="17"/>
        <v>13106.94</v>
      </c>
      <c r="M58" s="6">
        <f t="shared" si="17"/>
        <v>734.82</v>
      </c>
      <c r="N58" s="6">
        <f t="shared" si="11"/>
        <v>22669.1</v>
      </c>
    </row>
    <row r="59" spans="1:14" x14ac:dyDescent="0.25">
      <c r="A59" s="3" t="s">
        <v>66</v>
      </c>
      <c r="B59" s="4"/>
      <c r="C59" s="5">
        <f>623.4</f>
        <v>623.4</v>
      </c>
      <c r="D59" s="4"/>
      <c r="E59" s="4"/>
      <c r="F59" s="4"/>
      <c r="G59" s="4"/>
      <c r="H59" s="4"/>
      <c r="I59" s="4"/>
      <c r="J59" s="4"/>
      <c r="K59" s="4"/>
      <c r="L59" s="4"/>
      <c r="M59" s="5">
        <f>633.71</f>
        <v>633.71</v>
      </c>
      <c r="N59" s="5">
        <f t="shared" si="11"/>
        <v>1257.1100000000001</v>
      </c>
    </row>
    <row r="60" spans="1:14" x14ac:dyDescent="0.25">
      <c r="A60" s="3" t="s">
        <v>67</v>
      </c>
      <c r="B60" s="5">
        <f>416.02</f>
        <v>416.02</v>
      </c>
      <c r="C60" s="5">
        <f>1471.49</f>
        <v>1471.49</v>
      </c>
      <c r="D60" s="5">
        <f>402.92</f>
        <v>402.92</v>
      </c>
      <c r="E60" s="5">
        <f>1028.69</f>
        <v>1028.69</v>
      </c>
      <c r="F60" s="5">
        <f>422.74</f>
        <v>422.74</v>
      </c>
      <c r="G60" s="5">
        <f>288.83</f>
        <v>288.83</v>
      </c>
      <c r="H60" s="5">
        <f>379.17</f>
        <v>379.17</v>
      </c>
      <c r="I60" s="5">
        <f>458.84</f>
        <v>458.84</v>
      </c>
      <c r="J60" s="4"/>
      <c r="K60" s="5">
        <f>874.68</f>
        <v>874.68</v>
      </c>
      <c r="L60" s="5">
        <f>424.49</f>
        <v>424.49</v>
      </c>
      <c r="M60" s="5">
        <f>385.88</f>
        <v>385.88</v>
      </c>
      <c r="N60" s="5">
        <f t="shared" si="11"/>
        <v>6553.75</v>
      </c>
    </row>
    <row r="61" spans="1:14" x14ac:dyDescent="0.25">
      <c r="A61" s="3" t="s">
        <v>68</v>
      </c>
      <c r="B61" s="5">
        <f>277.34</f>
        <v>277.33999999999997</v>
      </c>
      <c r="C61" s="5">
        <f>1337.33</f>
        <v>1337.33</v>
      </c>
      <c r="D61" s="5">
        <f>268.91</f>
        <v>268.91000000000003</v>
      </c>
      <c r="E61" s="5">
        <f>786.08</f>
        <v>786.08</v>
      </c>
      <c r="F61" s="5">
        <f>281.83</f>
        <v>281.83</v>
      </c>
      <c r="G61" s="5">
        <f>288.83</f>
        <v>288.83</v>
      </c>
      <c r="H61" s="5">
        <f>252.78</f>
        <v>252.78</v>
      </c>
      <c r="I61" s="5">
        <f>305.89</f>
        <v>305.89</v>
      </c>
      <c r="J61" s="5">
        <f>443.62</f>
        <v>443.62</v>
      </c>
      <c r="K61" s="4"/>
      <c r="L61" s="5">
        <f>282.99</f>
        <v>282.99</v>
      </c>
      <c r="M61" s="5">
        <f>257.25</f>
        <v>257.25</v>
      </c>
      <c r="N61" s="5">
        <f t="shared" si="11"/>
        <v>4782.8499999999995</v>
      </c>
    </row>
    <row r="62" spans="1:14" x14ac:dyDescent="0.25">
      <c r="A62" s="3" t="s">
        <v>69</v>
      </c>
      <c r="B62" s="4"/>
      <c r="C62" s="4"/>
      <c r="D62" s="5">
        <f>311.7</f>
        <v>311.7</v>
      </c>
      <c r="E62" s="4"/>
      <c r="F62" s="5">
        <f>311.7</f>
        <v>311.7</v>
      </c>
      <c r="G62" s="5">
        <f>311.7</f>
        <v>311.7</v>
      </c>
      <c r="H62" s="5">
        <f>325.82</f>
        <v>325.82</v>
      </c>
      <c r="I62" s="5">
        <f>331.34</f>
        <v>331.34</v>
      </c>
      <c r="J62" s="5">
        <f>443.62</f>
        <v>443.62</v>
      </c>
      <c r="K62" s="5">
        <f>976.3</f>
        <v>976.3</v>
      </c>
      <c r="L62" s="5">
        <f>1058.16</f>
        <v>1058.1600000000001</v>
      </c>
      <c r="M62" s="5">
        <f>376.62</f>
        <v>376.62</v>
      </c>
      <c r="N62" s="5">
        <f t="shared" si="11"/>
        <v>4446.9599999999991</v>
      </c>
    </row>
    <row r="63" spans="1:14" x14ac:dyDescent="0.25">
      <c r="A63" s="3" t="s">
        <v>70</v>
      </c>
      <c r="B63" s="4"/>
      <c r="C63" s="4"/>
      <c r="D63" s="5">
        <f>311.7</f>
        <v>311.7</v>
      </c>
      <c r="E63" s="5">
        <f>623.4</f>
        <v>623.4</v>
      </c>
      <c r="F63" s="5">
        <f>311.7</f>
        <v>311.7</v>
      </c>
      <c r="G63" s="5">
        <f>311.7</f>
        <v>311.7</v>
      </c>
      <c r="H63" s="5">
        <f>325.81</f>
        <v>325.81</v>
      </c>
      <c r="I63" s="5">
        <f>331.34</f>
        <v>331.34</v>
      </c>
      <c r="J63" s="4"/>
      <c r="K63" s="5">
        <f>807.2</f>
        <v>807.2</v>
      </c>
      <c r="L63" s="5">
        <f>1058.16</f>
        <v>1058.1600000000001</v>
      </c>
      <c r="M63" s="5">
        <f>376.61</f>
        <v>376.61</v>
      </c>
      <c r="N63" s="5">
        <f t="shared" si="11"/>
        <v>4457.62</v>
      </c>
    </row>
    <row r="64" spans="1:14" x14ac:dyDescent="0.25">
      <c r="A64" s="3" t="s">
        <v>71</v>
      </c>
      <c r="B64" s="6">
        <f t="shared" ref="B64:M64" si="18">((((B59)+(B60))+(B61))+(B62))+(B63)</f>
        <v>693.3599999999999</v>
      </c>
      <c r="C64" s="6">
        <f t="shared" si="18"/>
        <v>3432.22</v>
      </c>
      <c r="D64" s="6">
        <f t="shared" si="18"/>
        <v>1295.23</v>
      </c>
      <c r="E64" s="6">
        <f t="shared" si="18"/>
        <v>2438.17</v>
      </c>
      <c r="F64" s="6">
        <f t="shared" si="18"/>
        <v>1327.97</v>
      </c>
      <c r="G64" s="6">
        <f t="shared" si="18"/>
        <v>1201.06</v>
      </c>
      <c r="H64" s="6">
        <f t="shared" si="18"/>
        <v>1283.58</v>
      </c>
      <c r="I64" s="6">
        <f t="shared" si="18"/>
        <v>1427.4099999999999</v>
      </c>
      <c r="J64" s="6">
        <f t="shared" si="18"/>
        <v>887.24</v>
      </c>
      <c r="K64" s="6">
        <f t="shared" si="18"/>
        <v>2658.1800000000003</v>
      </c>
      <c r="L64" s="6">
        <f t="shared" si="18"/>
        <v>2823.8</v>
      </c>
      <c r="M64" s="6">
        <f t="shared" si="18"/>
        <v>2030.0700000000002</v>
      </c>
      <c r="N64" s="6">
        <f t="shared" si="11"/>
        <v>21498.289999999997</v>
      </c>
    </row>
    <row r="65" spans="1:14" x14ac:dyDescent="0.25">
      <c r="A65" s="3" t="s">
        <v>72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5">
        <f t="shared" si="11"/>
        <v>0</v>
      </c>
    </row>
    <row r="66" spans="1:14" x14ac:dyDescent="0.25">
      <c r="A66" s="3" t="s">
        <v>73</v>
      </c>
      <c r="B66" s="4"/>
      <c r="C66" s="4"/>
      <c r="D66" s="5">
        <f>696.21</f>
        <v>696.21</v>
      </c>
      <c r="E66" s="4"/>
      <c r="F66" s="5">
        <f>159</f>
        <v>159</v>
      </c>
      <c r="G66" s="5">
        <f>472</f>
        <v>472</v>
      </c>
      <c r="H66" s="4"/>
      <c r="I66" s="5">
        <f>498</f>
        <v>498</v>
      </c>
      <c r="J66" s="4"/>
      <c r="K66" s="5">
        <f>374.5</f>
        <v>374.5</v>
      </c>
      <c r="L66" s="5">
        <f>357</f>
        <v>357</v>
      </c>
      <c r="M66" s="5">
        <f>177.59</f>
        <v>177.59</v>
      </c>
      <c r="N66" s="5">
        <f t="shared" si="11"/>
        <v>2734.3</v>
      </c>
    </row>
    <row r="67" spans="1:14" x14ac:dyDescent="0.25">
      <c r="A67" s="3" t="s">
        <v>74</v>
      </c>
      <c r="B67" s="4"/>
      <c r="C67" s="4"/>
      <c r="D67" s="5">
        <f>400</f>
        <v>400</v>
      </c>
      <c r="E67" s="4"/>
      <c r="F67" s="5">
        <f>400</f>
        <v>400</v>
      </c>
      <c r="G67" s="5">
        <f>159</f>
        <v>159</v>
      </c>
      <c r="H67" s="4"/>
      <c r="I67" s="5">
        <f>1062</f>
        <v>1062</v>
      </c>
      <c r="J67" s="4"/>
      <c r="K67" s="5">
        <f>564.5</f>
        <v>564.5</v>
      </c>
      <c r="L67" s="5">
        <f>370.3</f>
        <v>370.3</v>
      </c>
      <c r="M67" s="5">
        <f>118.39</f>
        <v>118.39</v>
      </c>
      <c r="N67" s="5">
        <f t="shared" si="11"/>
        <v>3074.19</v>
      </c>
    </row>
    <row r="68" spans="1:14" x14ac:dyDescent="0.25">
      <c r="A68" s="3" t="s">
        <v>75</v>
      </c>
      <c r="B68" s="6">
        <f t="shared" ref="B68:M68" si="19">((B65)+(B66))+(B67)</f>
        <v>0</v>
      </c>
      <c r="C68" s="6">
        <f t="shared" si="19"/>
        <v>0</v>
      </c>
      <c r="D68" s="6">
        <f t="shared" si="19"/>
        <v>1096.21</v>
      </c>
      <c r="E68" s="6">
        <f t="shared" si="19"/>
        <v>0</v>
      </c>
      <c r="F68" s="6">
        <f t="shared" si="19"/>
        <v>559</v>
      </c>
      <c r="G68" s="6">
        <f t="shared" si="19"/>
        <v>631</v>
      </c>
      <c r="H68" s="6">
        <f t="shared" si="19"/>
        <v>0</v>
      </c>
      <c r="I68" s="6">
        <f t="shared" si="19"/>
        <v>1560</v>
      </c>
      <c r="J68" s="6">
        <f t="shared" si="19"/>
        <v>0</v>
      </c>
      <c r="K68" s="6">
        <f t="shared" si="19"/>
        <v>939</v>
      </c>
      <c r="L68" s="6">
        <f t="shared" si="19"/>
        <v>727.3</v>
      </c>
      <c r="M68" s="6">
        <f t="shared" si="19"/>
        <v>295.98</v>
      </c>
      <c r="N68" s="6">
        <f t="shared" si="11"/>
        <v>5808.49</v>
      </c>
    </row>
    <row r="69" spans="1:14" x14ac:dyDescent="0.25">
      <c r="A69" s="3" t="s">
        <v>76</v>
      </c>
      <c r="B69" s="6">
        <f t="shared" ref="B69:M69" si="20">(((((B46)+(B50))+(B54))+(B58))+(B64))+(B68)</f>
        <v>13843.05</v>
      </c>
      <c r="C69" s="6">
        <f t="shared" si="20"/>
        <v>17066.27</v>
      </c>
      <c r="D69" s="6">
        <f t="shared" si="20"/>
        <v>15000.7</v>
      </c>
      <c r="E69" s="6">
        <f t="shared" si="20"/>
        <v>14073.15</v>
      </c>
      <c r="F69" s="6">
        <f t="shared" si="20"/>
        <v>16476.11</v>
      </c>
      <c r="G69" s="6">
        <f t="shared" si="20"/>
        <v>16368.89</v>
      </c>
      <c r="H69" s="6">
        <f t="shared" si="20"/>
        <v>17532.809999999998</v>
      </c>
      <c r="I69" s="6">
        <f t="shared" si="20"/>
        <v>19470.09</v>
      </c>
      <c r="J69" s="6">
        <f t="shared" si="20"/>
        <v>17053.570000000003</v>
      </c>
      <c r="K69" s="6">
        <f t="shared" si="20"/>
        <v>19671.760000000002</v>
      </c>
      <c r="L69" s="6">
        <f t="shared" si="20"/>
        <v>29216.05</v>
      </c>
      <c r="M69" s="6">
        <f t="shared" si="20"/>
        <v>20002.499999999996</v>
      </c>
      <c r="N69" s="6">
        <f t="shared" si="11"/>
        <v>215774.94999999998</v>
      </c>
    </row>
    <row r="70" spans="1:14" x14ac:dyDescent="0.25">
      <c r="A70" s="3" t="s">
        <v>77</v>
      </c>
      <c r="B70" s="6">
        <f t="shared" ref="B70:M70" si="21">(B41)-(B69)</f>
        <v>53265.659999999989</v>
      </c>
      <c r="C70" s="6">
        <f t="shared" si="21"/>
        <v>116686.90999999999</v>
      </c>
      <c r="D70" s="6">
        <f t="shared" si="21"/>
        <v>61580.12000000001</v>
      </c>
      <c r="E70" s="6">
        <f t="shared" si="21"/>
        <v>48700.529999999992</v>
      </c>
      <c r="F70" s="6">
        <f t="shared" si="21"/>
        <v>49591.75</v>
      </c>
      <c r="G70" s="6">
        <f t="shared" si="21"/>
        <v>716956.95000000007</v>
      </c>
      <c r="H70" s="6">
        <f t="shared" si="21"/>
        <v>43697.08</v>
      </c>
      <c r="I70" s="6">
        <f t="shared" si="21"/>
        <v>51552.86</v>
      </c>
      <c r="J70" s="6">
        <f t="shared" si="21"/>
        <v>40155.789999999994</v>
      </c>
      <c r="K70" s="6">
        <f t="shared" si="21"/>
        <v>37958.939999999995</v>
      </c>
      <c r="L70" s="6">
        <f t="shared" si="21"/>
        <v>27862.12</v>
      </c>
      <c r="M70" s="6">
        <f t="shared" si="21"/>
        <v>28525.970000000005</v>
      </c>
      <c r="N70" s="6">
        <f t="shared" si="11"/>
        <v>1276534.6800000002</v>
      </c>
    </row>
    <row r="71" spans="1:14" x14ac:dyDescent="0.25">
      <c r="A71" s="3" t="s">
        <v>78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3" t="s">
        <v>79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5">
        <f t="shared" ref="N72:N103" si="22">(((((((((((B72)+(C72))+(D72))+(E72))+(F72))+(G72))+(H72))+(I72))+(J72))+(K72))+(L72))+(M72)</f>
        <v>0</v>
      </c>
    </row>
    <row r="73" spans="1:14" x14ac:dyDescent="0.25">
      <c r="A73" s="3" t="s">
        <v>80</v>
      </c>
      <c r="B73" s="5">
        <f>1475</f>
        <v>1475</v>
      </c>
      <c r="C73" s="4"/>
      <c r="D73" s="5">
        <f>225</f>
        <v>225</v>
      </c>
      <c r="E73" s="5">
        <f>2005</f>
        <v>2005</v>
      </c>
      <c r="F73" s="5">
        <f>1354.05</f>
        <v>1354.05</v>
      </c>
      <c r="G73" s="5">
        <f>3086.86</f>
        <v>3086.86</v>
      </c>
      <c r="H73" s="5">
        <f>4625</f>
        <v>4625</v>
      </c>
      <c r="I73" s="5">
        <f>1949.64</f>
        <v>1949.64</v>
      </c>
      <c r="J73" s="5">
        <f>2400</f>
        <v>2400</v>
      </c>
      <c r="K73" s="4"/>
      <c r="L73" s="4"/>
      <c r="M73" s="4"/>
      <c r="N73" s="5">
        <f t="shared" si="22"/>
        <v>17120.55</v>
      </c>
    </row>
    <row r="74" spans="1:14" x14ac:dyDescent="0.25">
      <c r="A74" s="3" t="s">
        <v>81</v>
      </c>
      <c r="B74" s="5">
        <f>1635</f>
        <v>1635</v>
      </c>
      <c r="C74" s="5">
        <f>225</f>
        <v>225</v>
      </c>
      <c r="D74" s="5">
        <f>450</f>
        <v>450</v>
      </c>
      <c r="E74" s="5">
        <f>450</f>
        <v>450</v>
      </c>
      <c r="F74" s="4"/>
      <c r="G74" s="5">
        <f>2525</f>
        <v>2525</v>
      </c>
      <c r="H74" s="5">
        <f>510</f>
        <v>510</v>
      </c>
      <c r="I74" s="5">
        <f>362.98</f>
        <v>362.98</v>
      </c>
      <c r="J74" s="5">
        <f>450</f>
        <v>450</v>
      </c>
      <c r="K74" s="4"/>
      <c r="L74" s="5">
        <f>900</f>
        <v>900</v>
      </c>
      <c r="M74" s="4"/>
      <c r="N74" s="5">
        <f t="shared" si="22"/>
        <v>7507.98</v>
      </c>
    </row>
    <row r="75" spans="1:14" x14ac:dyDescent="0.25">
      <c r="A75" s="3" t="s">
        <v>82</v>
      </c>
      <c r="B75" s="6">
        <f t="shared" ref="B75:M75" si="23">((B72)+(B73))+(B74)</f>
        <v>3110</v>
      </c>
      <c r="C75" s="6">
        <f t="shared" si="23"/>
        <v>225</v>
      </c>
      <c r="D75" s="6">
        <f t="shared" si="23"/>
        <v>675</v>
      </c>
      <c r="E75" s="6">
        <f t="shared" si="23"/>
        <v>2455</v>
      </c>
      <c r="F75" s="6">
        <f t="shared" si="23"/>
        <v>1354.05</v>
      </c>
      <c r="G75" s="6">
        <f t="shared" si="23"/>
        <v>5611.8600000000006</v>
      </c>
      <c r="H75" s="6">
        <f t="shared" si="23"/>
        <v>5135</v>
      </c>
      <c r="I75" s="6">
        <f t="shared" si="23"/>
        <v>2312.62</v>
      </c>
      <c r="J75" s="6">
        <f t="shared" si="23"/>
        <v>2850</v>
      </c>
      <c r="K75" s="6">
        <f t="shared" si="23"/>
        <v>0</v>
      </c>
      <c r="L75" s="6">
        <f t="shared" si="23"/>
        <v>900</v>
      </c>
      <c r="M75" s="6">
        <f t="shared" si="23"/>
        <v>0</v>
      </c>
      <c r="N75" s="6">
        <f t="shared" si="22"/>
        <v>24628.53</v>
      </c>
    </row>
    <row r="76" spans="1:14" x14ac:dyDescent="0.25">
      <c r="A76" s="3" t="s">
        <v>83</v>
      </c>
      <c r="B76" s="5">
        <f>236.04</f>
        <v>236.04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5">
        <f t="shared" si="22"/>
        <v>236.04</v>
      </c>
    </row>
    <row r="77" spans="1:14" x14ac:dyDescent="0.25">
      <c r="A77" s="3" t="s">
        <v>84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5">
        <f t="shared" si="22"/>
        <v>0</v>
      </c>
    </row>
    <row r="78" spans="1:14" x14ac:dyDescent="0.25">
      <c r="A78" s="3" t="s">
        <v>85</v>
      </c>
      <c r="B78" s="5">
        <f>31.45</f>
        <v>31.45</v>
      </c>
      <c r="C78" s="5">
        <f>31.27</f>
        <v>31.27</v>
      </c>
      <c r="D78" s="5">
        <f>35.62</f>
        <v>35.619999999999997</v>
      </c>
      <c r="E78" s="5">
        <f>27.99</f>
        <v>27.99</v>
      </c>
      <c r="F78" s="5">
        <f>25</f>
        <v>25</v>
      </c>
      <c r="G78" s="5">
        <f>28.55</f>
        <v>28.55</v>
      </c>
      <c r="H78" s="5">
        <f>25</f>
        <v>25</v>
      </c>
      <c r="I78" s="5">
        <f>25</f>
        <v>25</v>
      </c>
      <c r="J78" s="5">
        <f>25</f>
        <v>25</v>
      </c>
      <c r="K78" s="5">
        <f>25</f>
        <v>25</v>
      </c>
      <c r="L78" s="5">
        <f>25</f>
        <v>25</v>
      </c>
      <c r="M78" s="5">
        <f>25</f>
        <v>25</v>
      </c>
      <c r="N78" s="5">
        <f t="shared" si="22"/>
        <v>329.88</v>
      </c>
    </row>
    <row r="79" spans="1:14" x14ac:dyDescent="0.25">
      <c r="A79" s="3" t="s">
        <v>86</v>
      </c>
      <c r="B79" s="5">
        <f>31.46</f>
        <v>31.46</v>
      </c>
      <c r="C79" s="5">
        <f>31.27</f>
        <v>31.27</v>
      </c>
      <c r="D79" s="5">
        <f>35.63</f>
        <v>35.630000000000003</v>
      </c>
      <c r="E79" s="5">
        <f>27.99</f>
        <v>27.99</v>
      </c>
      <c r="F79" s="5">
        <f>25</f>
        <v>25</v>
      </c>
      <c r="G79" s="5">
        <f>28.56</f>
        <v>28.56</v>
      </c>
      <c r="H79" s="5">
        <f>25</f>
        <v>25</v>
      </c>
      <c r="I79" s="5">
        <f>25</f>
        <v>25</v>
      </c>
      <c r="J79" s="5">
        <f>25</f>
        <v>25</v>
      </c>
      <c r="K79" s="5">
        <f>25</f>
        <v>25</v>
      </c>
      <c r="L79" s="5">
        <f>25</f>
        <v>25</v>
      </c>
      <c r="M79" s="5">
        <f>25</f>
        <v>25</v>
      </c>
      <c r="N79" s="5">
        <f t="shared" si="22"/>
        <v>329.91</v>
      </c>
    </row>
    <row r="80" spans="1:14" x14ac:dyDescent="0.25">
      <c r="A80" s="3" t="s">
        <v>87</v>
      </c>
      <c r="B80" s="6">
        <f t="shared" ref="B80:M80" si="24">((B77)+(B78))+(B79)</f>
        <v>62.91</v>
      </c>
      <c r="C80" s="6">
        <f t="shared" si="24"/>
        <v>62.54</v>
      </c>
      <c r="D80" s="6">
        <f t="shared" si="24"/>
        <v>71.25</v>
      </c>
      <c r="E80" s="6">
        <f t="shared" si="24"/>
        <v>55.98</v>
      </c>
      <c r="F80" s="6">
        <f t="shared" si="24"/>
        <v>50</v>
      </c>
      <c r="G80" s="6">
        <f t="shared" si="24"/>
        <v>57.11</v>
      </c>
      <c r="H80" s="6">
        <f t="shared" si="24"/>
        <v>50</v>
      </c>
      <c r="I80" s="6">
        <f t="shared" si="24"/>
        <v>50</v>
      </c>
      <c r="J80" s="6">
        <f t="shared" si="24"/>
        <v>50</v>
      </c>
      <c r="K80" s="6">
        <f t="shared" si="24"/>
        <v>50</v>
      </c>
      <c r="L80" s="6">
        <f t="shared" si="24"/>
        <v>50</v>
      </c>
      <c r="M80" s="6">
        <f t="shared" si="24"/>
        <v>50</v>
      </c>
      <c r="N80" s="6">
        <f t="shared" si="22"/>
        <v>659.79</v>
      </c>
    </row>
    <row r="81" spans="1:14" x14ac:dyDescent="0.25">
      <c r="A81" s="3" t="s">
        <v>88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5">
        <f t="shared" si="22"/>
        <v>0</v>
      </c>
    </row>
    <row r="82" spans="1:14" x14ac:dyDescent="0.25">
      <c r="A82" s="3" t="s">
        <v>89</v>
      </c>
      <c r="B82" s="5">
        <f>360</f>
        <v>360</v>
      </c>
      <c r="C82" s="5">
        <f>360</f>
        <v>360</v>
      </c>
      <c r="D82" s="5">
        <f>360</f>
        <v>360</v>
      </c>
      <c r="E82" s="5">
        <f>360</f>
        <v>360</v>
      </c>
      <c r="F82" s="5">
        <f>360</f>
        <v>360</v>
      </c>
      <c r="G82" s="5">
        <f>360</f>
        <v>360</v>
      </c>
      <c r="H82" s="5">
        <f>360</f>
        <v>360</v>
      </c>
      <c r="I82" s="5">
        <f>360</f>
        <v>360</v>
      </c>
      <c r="J82" s="5">
        <f>600</f>
        <v>600</v>
      </c>
      <c r="K82" s="5">
        <f>360</f>
        <v>360</v>
      </c>
      <c r="L82" s="5">
        <f>360</f>
        <v>360</v>
      </c>
      <c r="M82" s="5">
        <f>435</f>
        <v>435</v>
      </c>
      <c r="N82" s="5">
        <f t="shared" si="22"/>
        <v>4635</v>
      </c>
    </row>
    <row r="83" spans="1:14" x14ac:dyDescent="0.25">
      <c r="A83" s="3" t="s">
        <v>90</v>
      </c>
      <c r="B83" s="5">
        <f>240</f>
        <v>240</v>
      </c>
      <c r="C83" s="5">
        <f>240</f>
        <v>240</v>
      </c>
      <c r="D83" s="5">
        <f>240</f>
        <v>240</v>
      </c>
      <c r="E83" s="5">
        <f>240</f>
        <v>240</v>
      </c>
      <c r="F83" s="5">
        <f>240</f>
        <v>240</v>
      </c>
      <c r="G83" s="5">
        <f>240</f>
        <v>240</v>
      </c>
      <c r="H83" s="5">
        <f>240</f>
        <v>240</v>
      </c>
      <c r="I83" s="5">
        <f>240</f>
        <v>240</v>
      </c>
      <c r="J83" s="5">
        <f>400</f>
        <v>400</v>
      </c>
      <c r="K83" s="5">
        <f>240</f>
        <v>240</v>
      </c>
      <c r="L83" s="5">
        <f>240</f>
        <v>240</v>
      </c>
      <c r="M83" s="5">
        <f>315</f>
        <v>315</v>
      </c>
      <c r="N83" s="5">
        <f t="shared" si="22"/>
        <v>3115</v>
      </c>
    </row>
    <row r="84" spans="1:14" x14ac:dyDescent="0.25">
      <c r="A84" s="3" t="s">
        <v>91</v>
      </c>
      <c r="B84" s="6">
        <f t="shared" ref="B84:M84" si="25">((B81)+(B82))+(B83)</f>
        <v>600</v>
      </c>
      <c r="C84" s="6">
        <f t="shared" si="25"/>
        <v>600</v>
      </c>
      <c r="D84" s="6">
        <f t="shared" si="25"/>
        <v>600</v>
      </c>
      <c r="E84" s="6">
        <f t="shared" si="25"/>
        <v>600</v>
      </c>
      <c r="F84" s="6">
        <f t="shared" si="25"/>
        <v>600</v>
      </c>
      <c r="G84" s="6">
        <f t="shared" si="25"/>
        <v>600</v>
      </c>
      <c r="H84" s="6">
        <f t="shared" si="25"/>
        <v>600</v>
      </c>
      <c r="I84" s="6">
        <f t="shared" si="25"/>
        <v>600</v>
      </c>
      <c r="J84" s="6">
        <f t="shared" si="25"/>
        <v>1000</v>
      </c>
      <c r="K84" s="6">
        <f t="shared" si="25"/>
        <v>600</v>
      </c>
      <c r="L84" s="6">
        <f t="shared" si="25"/>
        <v>600</v>
      </c>
      <c r="M84" s="6">
        <f t="shared" si="25"/>
        <v>750</v>
      </c>
      <c r="N84" s="6">
        <f t="shared" si="22"/>
        <v>7750</v>
      </c>
    </row>
    <row r="85" spans="1:14" x14ac:dyDescent="0.25">
      <c r="A85" s="3" t="s">
        <v>92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5">
        <f t="shared" si="22"/>
        <v>0</v>
      </c>
    </row>
    <row r="86" spans="1:14" x14ac:dyDescent="0.25">
      <c r="A86" s="3" t="s">
        <v>93</v>
      </c>
      <c r="B86" s="4"/>
      <c r="C86" s="4"/>
      <c r="D86" s="4"/>
      <c r="E86" s="4"/>
      <c r="F86" s="4"/>
      <c r="G86" s="4"/>
      <c r="H86" s="4"/>
      <c r="I86" s="4"/>
      <c r="J86" s="4"/>
      <c r="K86" s="5">
        <f>900</f>
        <v>900</v>
      </c>
      <c r="L86" s="4"/>
      <c r="M86" s="4"/>
      <c r="N86" s="5">
        <f t="shared" si="22"/>
        <v>900</v>
      </c>
    </row>
    <row r="87" spans="1:14" x14ac:dyDescent="0.25">
      <c r="A87" s="3" t="s">
        <v>94</v>
      </c>
      <c r="B87" s="4"/>
      <c r="C87" s="4"/>
      <c r="D87" s="4"/>
      <c r="E87" s="4"/>
      <c r="F87" s="4"/>
      <c r="G87" s="4"/>
      <c r="H87" s="4"/>
      <c r="I87" s="4"/>
      <c r="J87" s="4"/>
      <c r="K87" s="5">
        <f>600</f>
        <v>600</v>
      </c>
      <c r="L87" s="4"/>
      <c r="M87" s="4"/>
      <c r="N87" s="5">
        <f t="shared" si="22"/>
        <v>600</v>
      </c>
    </row>
    <row r="88" spans="1:14" x14ac:dyDescent="0.25">
      <c r="A88" s="3" t="s">
        <v>95</v>
      </c>
      <c r="B88" s="6">
        <f t="shared" ref="B88:M88" si="26">((B85)+(B86))+(B87)</f>
        <v>0</v>
      </c>
      <c r="C88" s="6">
        <f t="shared" si="26"/>
        <v>0</v>
      </c>
      <c r="D88" s="6">
        <f t="shared" si="26"/>
        <v>0</v>
      </c>
      <c r="E88" s="6">
        <f t="shared" si="26"/>
        <v>0</v>
      </c>
      <c r="F88" s="6">
        <f t="shared" si="26"/>
        <v>0</v>
      </c>
      <c r="G88" s="6">
        <f t="shared" si="26"/>
        <v>0</v>
      </c>
      <c r="H88" s="6">
        <f t="shared" si="26"/>
        <v>0</v>
      </c>
      <c r="I88" s="6">
        <f t="shared" si="26"/>
        <v>0</v>
      </c>
      <c r="J88" s="6">
        <f t="shared" si="26"/>
        <v>0</v>
      </c>
      <c r="K88" s="6">
        <f t="shared" si="26"/>
        <v>1500</v>
      </c>
      <c r="L88" s="6">
        <f t="shared" si="26"/>
        <v>0</v>
      </c>
      <c r="M88" s="6">
        <f t="shared" si="26"/>
        <v>0</v>
      </c>
      <c r="N88" s="6">
        <f t="shared" si="22"/>
        <v>1500</v>
      </c>
    </row>
    <row r="89" spans="1:14" x14ac:dyDescent="0.25">
      <c r="A89" s="3" t="s">
        <v>96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5">
        <f t="shared" si="22"/>
        <v>0</v>
      </c>
    </row>
    <row r="90" spans="1:14" x14ac:dyDescent="0.25">
      <c r="A90" s="3" t="s">
        <v>97</v>
      </c>
      <c r="B90" s="5">
        <f>1020</f>
        <v>1020</v>
      </c>
      <c r="C90" s="5">
        <f>1275</f>
        <v>1275</v>
      </c>
      <c r="D90" s="5">
        <f>1245</f>
        <v>1245</v>
      </c>
      <c r="E90" s="5">
        <f>810</f>
        <v>810</v>
      </c>
      <c r="F90" s="5">
        <f>1260</f>
        <v>1260</v>
      </c>
      <c r="G90" s="5">
        <f>780</f>
        <v>780</v>
      </c>
      <c r="H90" s="5">
        <f>810</f>
        <v>810</v>
      </c>
      <c r="I90" s="5">
        <f>847.5</f>
        <v>847.5</v>
      </c>
      <c r="J90" s="5">
        <f>1005</f>
        <v>1005</v>
      </c>
      <c r="K90" s="5">
        <f>770</f>
        <v>770</v>
      </c>
      <c r="L90" s="5">
        <f>900</f>
        <v>900</v>
      </c>
      <c r="M90" s="5">
        <f>1222.5</f>
        <v>1222.5</v>
      </c>
      <c r="N90" s="5">
        <f t="shared" si="22"/>
        <v>11945</v>
      </c>
    </row>
    <row r="91" spans="1:14" x14ac:dyDescent="0.25">
      <c r="A91" s="3" t="s">
        <v>98</v>
      </c>
      <c r="B91" s="5">
        <f>680</f>
        <v>680</v>
      </c>
      <c r="C91" s="5">
        <f>850</f>
        <v>850</v>
      </c>
      <c r="D91" s="5">
        <f>830</f>
        <v>830</v>
      </c>
      <c r="E91" s="5">
        <f>540</f>
        <v>540</v>
      </c>
      <c r="F91" s="5">
        <f>840</f>
        <v>840</v>
      </c>
      <c r="G91" s="5">
        <f>520</f>
        <v>520</v>
      </c>
      <c r="H91" s="5">
        <f>540</f>
        <v>540</v>
      </c>
      <c r="I91" s="5">
        <f>565</f>
        <v>565</v>
      </c>
      <c r="J91" s="5">
        <f>670</f>
        <v>670</v>
      </c>
      <c r="K91" s="5">
        <f>530</f>
        <v>530</v>
      </c>
      <c r="L91" s="5">
        <f>600</f>
        <v>600</v>
      </c>
      <c r="M91" s="5">
        <f>815</f>
        <v>815</v>
      </c>
      <c r="N91" s="5">
        <f t="shared" si="22"/>
        <v>7980</v>
      </c>
    </row>
    <row r="92" spans="1:14" x14ac:dyDescent="0.25">
      <c r="A92" s="3" t="s">
        <v>99</v>
      </c>
      <c r="B92" s="6">
        <f t="shared" ref="B92:M92" si="27">((B89)+(B90))+(B91)</f>
        <v>1700</v>
      </c>
      <c r="C92" s="6">
        <f t="shared" si="27"/>
        <v>2125</v>
      </c>
      <c r="D92" s="6">
        <f t="shared" si="27"/>
        <v>2075</v>
      </c>
      <c r="E92" s="6">
        <f t="shared" si="27"/>
        <v>1350</v>
      </c>
      <c r="F92" s="6">
        <f t="shared" si="27"/>
        <v>2100</v>
      </c>
      <c r="G92" s="6">
        <f t="shared" si="27"/>
        <v>1300</v>
      </c>
      <c r="H92" s="6">
        <f t="shared" si="27"/>
        <v>1350</v>
      </c>
      <c r="I92" s="6">
        <f t="shared" si="27"/>
        <v>1412.5</v>
      </c>
      <c r="J92" s="6">
        <f t="shared" si="27"/>
        <v>1675</v>
      </c>
      <c r="K92" s="6">
        <f t="shared" si="27"/>
        <v>1300</v>
      </c>
      <c r="L92" s="6">
        <f t="shared" si="27"/>
        <v>1500</v>
      </c>
      <c r="M92" s="6">
        <f t="shared" si="27"/>
        <v>2037.5</v>
      </c>
      <c r="N92" s="6">
        <f t="shared" si="22"/>
        <v>19925</v>
      </c>
    </row>
    <row r="93" spans="1:14" x14ac:dyDescent="0.25">
      <c r="A93" s="3" t="s">
        <v>100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5">
        <f t="shared" si="22"/>
        <v>0</v>
      </c>
    </row>
    <row r="94" spans="1:14" x14ac:dyDescent="0.25">
      <c r="A94" s="3" t="s">
        <v>101</v>
      </c>
      <c r="B94" s="4"/>
      <c r="C94" s="4"/>
      <c r="D94" s="4"/>
      <c r="E94" s="4"/>
      <c r="F94" s="4"/>
      <c r="G94" s="4"/>
      <c r="H94" s="4"/>
      <c r="I94" s="4"/>
      <c r="J94" s="5">
        <f>200</f>
        <v>200</v>
      </c>
      <c r="K94" s="4"/>
      <c r="L94" s="4"/>
      <c r="M94" s="4"/>
      <c r="N94" s="5">
        <f t="shared" si="22"/>
        <v>200</v>
      </c>
    </row>
    <row r="95" spans="1:14" x14ac:dyDescent="0.25">
      <c r="A95" s="3" t="s">
        <v>102</v>
      </c>
      <c r="B95" s="6">
        <f t="shared" ref="B95:M95" si="28">(B93)+(B94)</f>
        <v>0</v>
      </c>
      <c r="C95" s="6">
        <f t="shared" si="28"/>
        <v>0</v>
      </c>
      <c r="D95" s="6">
        <f t="shared" si="28"/>
        <v>0</v>
      </c>
      <c r="E95" s="6">
        <f t="shared" si="28"/>
        <v>0</v>
      </c>
      <c r="F95" s="6">
        <f t="shared" si="28"/>
        <v>0</v>
      </c>
      <c r="G95" s="6">
        <f t="shared" si="28"/>
        <v>0</v>
      </c>
      <c r="H95" s="6">
        <f t="shared" si="28"/>
        <v>0</v>
      </c>
      <c r="I95" s="6">
        <f t="shared" si="28"/>
        <v>0</v>
      </c>
      <c r="J95" s="6">
        <f t="shared" si="28"/>
        <v>200</v>
      </c>
      <c r="K95" s="6">
        <f t="shared" si="28"/>
        <v>0</v>
      </c>
      <c r="L95" s="6">
        <f t="shared" si="28"/>
        <v>0</v>
      </c>
      <c r="M95" s="6">
        <f t="shared" si="28"/>
        <v>0</v>
      </c>
      <c r="N95" s="6">
        <f t="shared" si="22"/>
        <v>200</v>
      </c>
    </row>
    <row r="96" spans="1:14" x14ac:dyDescent="0.25">
      <c r="A96" s="3" t="s">
        <v>103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5">
        <f t="shared" si="22"/>
        <v>0</v>
      </c>
    </row>
    <row r="97" spans="1:14" x14ac:dyDescent="0.25">
      <c r="A97" s="3" t="s">
        <v>104</v>
      </c>
      <c r="B97" s="4"/>
      <c r="C97" s="4"/>
      <c r="D97" s="4"/>
      <c r="E97" s="5">
        <f>5000</f>
        <v>5000</v>
      </c>
      <c r="F97" s="5">
        <f>5320</f>
        <v>5320</v>
      </c>
      <c r="G97" s="4"/>
      <c r="H97" s="5">
        <f>93829.37</f>
        <v>93829.37</v>
      </c>
      <c r="I97" s="4"/>
      <c r="J97" s="4"/>
      <c r="K97" s="4"/>
      <c r="L97" s="4"/>
      <c r="M97" s="5">
        <f>272648.51</f>
        <v>272648.51</v>
      </c>
      <c r="N97" s="5">
        <f t="shared" si="22"/>
        <v>376797.88</v>
      </c>
    </row>
    <row r="98" spans="1:14" x14ac:dyDescent="0.25">
      <c r="A98" s="3" t="s">
        <v>105</v>
      </c>
      <c r="B98" s="4"/>
      <c r="C98" s="4"/>
      <c r="D98" s="4"/>
      <c r="E98" s="5">
        <f>5000</f>
        <v>5000</v>
      </c>
      <c r="F98" s="5">
        <f>5320</f>
        <v>5320</v>
      </c>
      <c r="G98" s="4"/>
      <c r="H98" s="5">
        <f>93829.36</f>
        <v>93829.36</v>
      </c>
      <c r="I98" s="4"/>
      <c r="J98" s="4"/>
      <c r="K98" s="4"/>
      <c r="L98" s="4"/>
      <c r="M98" s="5">
        <f>272648.51</f>
        <v>272648.51</v>
      </c>
      <c r="N98" s="5">
        <f t="shared" si="22"/>
        <v>376797.87</v>
      </c>
    </row>
    <row r="99" spans="1:14" x14ac:dyDescent="0.25">
      <c r="A99" s="3" t="s">
        <v>106</v>
      </c>
      <c r="B99" s="5">
        <f>10000</f>
        <v>10000</v>
      </c>
      <c r="C99" s="5">
        <f>5099</f>
        <v>5099</v>
      </c>
      <c r="D99" s="5">
        <f>15123.75</f>
        <v>15123.75</v>
      </c>
      <c r="E99" s="4"/>
      <c r="F99" s="5">
        <f>10000</f>
        <v>10000</v>
      </c>
      <c r="G99" s="5">
        <f>10000</f>
        <v>10000</v>
      </c>
      <c r="H99" s="5">
        <f>35979.96</f>
        <v>35979.96</v>
      </c>
      <c r="I99" s="5">
        <f>95310.75</f>
        <v>95310.75</v>
      </c>
      <c r="J99" s="5">
        <f>7327.75</f>
        <v>7327.75</v>
      </c>
      <c r="K99" s="5">
        <f>9131</f>
        <v>9131</v>
      </c>
      <c r="L99" s="5">
        <f>9848</f>
        <v>9848</v>
      </c>
      <c r="M99" s="5">
        <f>2000</f>
        <v>2000</v>
      </c>
      <c r="N99" s="5">
        <f t="shared" si="22"/>
        <v>209820.21</v>
      </c>
    </row>
    <row r="100" spans="1:14" x14ac:dyDescent="0.25">
      <c r="A100" s="3" t="s">
        <v>107</v>
      </c>
      <c r="B100" s="5">
        <f>10000</f>
        <v>10000</v>
      </c>
      <c r="C100" s="5">
        <f>5099</f>
        <v>5099</v>
      </c>
      <c r="D100" s="5">
        <f>15123.75</f>
        <v>15123.75</v>
      </c>
      <c r="E100" s="4"/>
      <c r="F100" s="5">
        <f>10000</f>
        <v>10000</v>
      </c>
      <c r="G100" s="4"/>
      <c r="H100" s="5">
        <f>35979.96</f>
        <v>35979.96</v>
      </c>
      <c r="I100" s="5">
        <f>95310.75</f>
        <v>95310.75</v>
      </c>
      <c r="J100" s="5">
        <f>7326.75</f>
        <v>7326.75</v>
      </c>
      <c r="K100" s="5">
        <f>9131</f>
        <v>9131</v>
      </c>
      <c r="L100" s="5">
        <f>9848</f>
        <v>9848</v>
      </c>
      <c r="M100" s="5">
        <f>2000</f>
        <v>2000</v>
      </c>
      <c r="N100" s="5">
        <f t="shared" si="22"/>
        <v>199819.21</v>
      </c>
    </row>
    <row r="101" spans="1:14" x14ac:dyDescent="0.25">
      <c r="A101" s="3" t="s">
        <v>108</v>
      </c>
      <c r="B101" s="6">
        <f t="shared" ref="B101:M101" si="29">((((B96)+(B97))+(B98))+(B99))+(B100)</f>
        <v>20000</v>
      </c>
      <c r="C101" s="6">
        <f t="shared" si="29"/>
        <v>10198</v>
      </c>
      <c r="D101" s="6">
        <f t="shared" si="29"/>
        <v>30247.5</v>
      </c>
      <c r="E101" s="6">
        <f t="shared" si="29"/>
        <v>10000</v>
      </c>
      <c r="F101" s="6">
        <f t="shared" si="29"/>
        <v>30640</v>
      </c>
      <c r="G101" s="6">
        <f t="shared" si="29"/>
        <v>10000</v>
      </c>
      <c r="H101" s="6">
        <f t="shared" si="29"/>
        <v>259618.64999999997</v>
      </c>
      <c r="I101" s="6">
        <f t="shared" si="29"/>
        <v>190621.5</v>
      </c>
      <c r="J101" s="6">
        <f t="shared" si="29"/>
        <v>14654.5</v>
      </c>
      <c r="K101" s="6">
        <f t="shared" si="29"/>
        <v>18262</v>
      </c>
      <c r="L101" s="6">
        <f t="shared" si="29"/>
        <v>19696</v>
      </c>
      <c r="M101" s="6">
        <f t="shared" si="29"/>
        <v>549297.02</v>
      </c>
      <c r="N101" s="6">
        <f t="shared" si="22"/>
        <v>1163235.17</v>
      </c>
    </row>
    <row r="102" spans="1:14" x14ac:dyDescent="0.25">
      <c r="A102" s="3" t="s">
        <v>109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5">
        <f t="shared" si="22"/>
        <v>0</v>
      </c>
    </row>
    <row r="103" spans="1:14" x14ac:dyDescent="0.25">
      <c r="A103" s="3" t="s">
        <v>110</v>
      </c>
      <c r="B103" s="5">
        <f>624</f>
        <v>624</v>
      </c>
      <c r="C103" s="5">
        <f>32.57</f>
        <v>32.57</v>
      </c>
      <c r="D103" s="5">
        <f>208</f>
        <v>208</v>
      </c>
      <c r="E103" s="5">
        <f>208</f>
        <v>208</v>
      </c>
      <c r="F103" s="5">
        <f>40.36</f>
        <v>40.36</v>
      </c>
      <c r="G103" s="4"/>
      <c r="H103" s="5">
        <f>238.53</f>
        <v>238.53</v>
      </c>
      <c r="I103" s="5">
        <f>-30</f>
        <v>-30</v>
      </c>
      <c r="J103" s="4"/>
      <c r="K103" s="4"/>
      <c r="L103" s="4"/>
      <c r="M103" s="4"/>
      <c r="N103" s="5">
        <f t="shared" si="22"/>
        <v>1321.46</v>
      </c>
    </row>
    <row r="104" spans="1:14" x14ac:dyDescent="0.25">
      <c r="A104" s="3" t="s">
        <v>111</v>
      </c>
      <c r="B104" s="5">
        <f>624</f>
        <v>624</v>
      </c>
      <c r="C104" s="5">
        <f>32.58</f>
        <v>32.58</v>
      </c>
      <c r="D104" s="5">
        <f>208</f>
        <v>208</v>
      </c>
      <c r="E104" s="5">
        <f>208</f>
        <v>208</v>
      </c>
      <c r="F104" s="5">
        <f>40.36</f>
        <v>40.36</v>
      </c>
      <c r="G104" s="4"/>
      <c r="H104" s="5">
        <f>238.53</f>
        <v>238.53</v>
      </c>
      <c r="I104" s="4"/>
      <c r="J104" s="4"/>
      <c r="K104" s="4"/>
      <c r="L104" s="4"/>
      <c r="M104" s="4"/>
      <c r="N104" s="5">
        <f t="shared" ref="N104:N135" si="30">(((((((((((B104)+(C104))+(D104))+(E104))+(F104))+(G104))+(H104))+(I104))+(J104))+(K104))+(L104))+(M104)</f>
        <v>1351.4699999999998</v>
      </c>
    </row>
    <row r="105" spans="1:14" x14ac:dyDescent="0.25">
      <c r="A105" s="3" t="s">
        <v>112</v>
      </c>
      <c r="B105" s="6">
        <f t="shared" ref="B105:M105" si="31">((B102)+(B103))+(B104)</f>
        <v>1248</v>
      </c>
      <c r="C105" s="6">
        <f t="shared" si="31"/>
        <v>65.150000000000006</v>
      </c>
      <c r="D105" s="6">
        <f t="shared" si="31"/>
        <v>416</v>
      </c>
      <c r="E105" s="6">
        <f t="shared" si="31"/>
        <v>416</v>
      </c>
      <c r="F105" s="6">
        <f t="shared" si="31"/>
        <v>80.72</v>
      </c>
      <c r="G105" s="6">
        <f t="shared" si="31"/>
        <v>0</v>
      </c>
      <c r="H105" s="6">
        <f t="shared" si="31"/>
        <v>477.06</v>
      </c>
      <c r="I105" s="6">
        <f t="shared" si="31"/>
        <v>-30</v>
      </c>
      <c r="J105" s="6">
        <f t="shared" si="31"/>
        <v>0</v>
      </c>
      <c r="K105" s="6">
        <f t="shared" si="31"/>
        <v>0</v>
      </c>
      <c r="L105" s="6">
        <f t="shared" si="31"/>
        <v>0</v>
      </c>
      <c r="M105" s="6">
        <f t="shared" si="31"/>
        <v>0</v>
      </c>
      <c r="N105" s="6">
        <f t="shared" si="30"/>
        <v>2672.93</v>
      </c>
    </row>
    <row r="106" spans="1:14" x14ac:dyDescent="0.25">
      <c r="A106" s="3" t="s">
        <v>113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5">
        <f t="shared" si="30"/>
        <v>0</v>
      </c>
    </row>
    <row r="107" spans="1:14" x14ac:dyDescent="0.25">
      <c r="A107" s="3" t="s">
        <v>114</v>
      </c>
      <c r="B107" s="4"/>
      <c r="C107" s="4"/>
      <c r="D107" s="5">
        <f>200</f>
        <v>200</v>
      </c>
      <c r="E107" s="4"/>
      <c r="F107" s="4"/>
      <c r="G107" s="4"/>
      <c r="H107" s="4"/>
      <c r="I107" s="4"/>
      <c r="J107" s="4"/>
      <c r="K107" s="4"/>
      <c r="L107" s="4"/>
      <c r="M107" s="4"/>
      <c r="N107" s="5">
        <f t="shared" si="30"/>
        <v>200</v>
      </c>
    </row>
    <row r="108" spans="1:14" x14ac:dyDescent="0.25">
      <c r="A108" s="3" t="s">
        <v>115</v>
      </c>
      <c r="B108" s="4"/>
      <c r="C108" s="4"/>
      <c r="D108" s="5">
        <f>200</f>
        <v>200</v>
      </c>
      <c r="E108" s="4"/>
      <c r="F108" s="4"/>
      <c r="G108" s="4"/>
      <c r="H108" s="4"/>
      <c r="I108" s="4"/>
      <c r="J108" s="4"/>
      <c r="K108" s="4"/>
      <c r="L108" s="4"/>
      <c r="M108" s="4"/>
      <c r="N108" s="5">
        <f t="shared" si="30"/>
        <v>200</v>
      </c>
    </row>
    <row r="109" spans="1:14" x14ac:dyDescent="0.25">
      <c r="A109" s="3" t="s">
        <v>116</v>
      </c>
      <c r="B109" s="6">
        <f t="shared" ref="B109:M109" si="32">((B106)+(B107))+(B108)</f>
        <v>0</v>
      </c>
      <c r="C109" s="6">
        <f t="shared" si="32"/>
        <v>0</v>
      </c>
      <c r="D109" s="6">
        <f t="shared" si="32"/>
        <v>400</v>
      </c>
      <c r="E109" s="6">
        <f t="shared" si="32"/>
        <v>0</v>
      </c>
      <c r="F109" s="6">
        <f t="shared" si="32"/>
        <v>0</v>
      </c>
      <c r="G109" s="6">
        <f t="shared" si="32"/>
        <v>0</v>
      </c>
      <c r="H109" s="6">
        <f t="shared" si="32"/>
        <v>0</v>
      </c>
      <c r="I109" s="6">
        <f t="shared" si="32"/>
        <v>0</v>
      </c>
      <c r="J109" s="6">
        <f t="shared" si="32"/>
        <v>0</v>
      </c>
      <c r="K109" s="6">
        <f t="shared" si="32"/>
        <v>0</v>
      </c>
      <c r="L109" s="6">
        <f t="shared" si="32"/>
        <v>0</v>
      </c>
      <c r="M109" s="6">
        <f t="shared" si="32"/>
        <v>0</v>
      </c>
      <c r="N109" s="6">
        <f t="shared" si="30"/>
        <v>400</v>
      </c>
    </row>
    <row r="110" spans="1:14" x14ac:dyDescent="0.25">
      <c r="A110" s="3" t="s">
        <v>117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5">
        <f t="shared" si="30"/>
        <v>0</v>
      </c>
    </row>
    <row r="111" spans="1:14" x14ac:dyDescent="0.25">
      <c r="A111" s="3" t="s">
        <v>118</v>
      </c>
      <c r="B111" s="4"/>
      <c r="C111" s="5">
        <f>30.83</f>
        <v>30.83</v>
      </c>
      <c r="D111" s="4"/>
      <c r="E111" s="4"/>
      <c r="F111" s="4"/>
      <c r="G111" s="4"/>
      <c r="H111" s="4"/>
      <c r="I111" s="4"/>
      <c r="J111" s="4"/>
      <c r="K111" s="4"/>
      <c r="L111" s="4"/>
      <c r="M111" s="5">
        <f>565.95</f>
        <v>565.95000000000005</v>
      </c>
      <c r="N111" s="5">
        <f t="shared" si="30"/>
        <v>596.78000000000009</v>
      </c>
    </row>
    <row r="112" spans="1:14" x14ac:dyDescent="0.25">
      <c r="A112" s="3" t="s">
        <v>119</v>
      </c>
      <c r="B112" s="5">
        <f>1312.5</f>
        <v>1312.5</v>
      </c>
      <c r="C112" s="5">
        <f>20.55</f>
        <v>20.55</v>
      </c>
      <c r="D112" s="4"/>
      <c r="E112" s="4"/>
      <c r="F112" s="4"/>
      <c r="G112" s="4"/>
      <c r="H112" s="4"/>
      <c r="I112" s="4"/>
      <c r="J112" s="4"/>
      <c r="K112" s="4"/>
      <c r="L112" s="5">
        <f>1250</f>
        <v>1250</v>
      </c>
      <c r="M112" s="4"/>
      <c r="N112" s="5">
        <f t="shared" si="30"/>
        <v>2583.0500000000002</v>
      </c>
    </row>
    <row r="113" spans="1:14" x14ac:dyDescent="0.25">
      <c r="A113" s="3" t="s">
        <v>120</v>
      </c>
      <c r="B113" s="6">
        <f t="shared" ref="B113:M113" si="33">((B110)+(B111))+(B112)</f>
        <v>1312.5</v>
      </c>
      <c r="C113" s="6">
        <f t="shared" si="33"/>
        <v>51.379999999999995</v>
      </c>
      <c r="D113" s="6">
        <f t="shared" si="33"/>
        <v>0</v>
      </c>
      <c r="E113" s="6">
        <f t="shared" si="33"/>
        <v>0</v>
      </c>
      <c r="F113" s="6">
        <f t="shared" si="33"/>
        <v>0</v>
      </c>
      <c r="G113" s="6">
        <f t="shared" si="33"/>
        <v>0</v>
      </c>
      <c r="H113" s="6">
        <f t="shared" si="33"/>
        <v>0</v>
      </c>
      <c r="I113" s="6">
        <f t="shared" si="33"/>
        <v>0</v>
      </c>
      <c r="J113" s="6">
        <f t="shared" si="33"/>
        <v>0</v>
      </c>
      <c r="K113" s="6">
        <f t="shared" si="33"/>
        <v>0</v>
      </c>
      <c r="L113" s="6">
        <f t="shared" si="33"/>
        <v>1250</v>
      </c>
      <c r="M113" s="6">
        <f t="shared" si="33"/>
        <v>565.95000000000005</v>
      </c>
      <c r="N113" s="6">
        <f t="shared" si="30"/>
        <v>3179.83</v>
      </c>
    </row>
    <row r="114" spans="1:14" x14ac:dyDescent="0.25">
      <c r="A114" s="3" t="s">
        <v>121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5">
        <f t="shared" si="30"/>
        <v>0</v>
      </c>
    </row>
    <row r="115" spans="1:14" x14ac:dyDescent="0.25">
      <c r="A115" s="3" t="s">
        <v>122</v>
      </c>
      <c r="B115" s="5">
        <f>1358.25</f>
        <v>1358.25</v>
      </c>
      <c r="C115" s="5">
        <f>1958.25</f>
        <v>1958.25</v>
      </c>
      <c r="D115" s="5">
        <f>1658.25</f>
        <v>1658.25</v>
      </c>
      <c r="E115" s="5">
        <f>1658.25</f>
        <v>1658.25</v>
      </c>
      <c r="F115" s="5">
        <f t="shared" ref="F115:H116" si="34">1358.25</f>
        <v>1358.25</v>
      </c>
      <c r="G115" s="5">
        <f t="shared" si="34"/>
        <v>1358.25</v>
      </c>
      <c r="H115" s="5">
        <f t="shared" si="34"/>
        <v>1358.25</v>
      </c>
      <c r="I115" s="5">
        <f>13338.74</f>
        <v>13338.74</v>
      </c>
      <c r="J115" s="5">
        <f>300</f>
        <v>300</v>
      </c>
      <c r="K115" s="5">
        <f>300</f>
        <v>300</v>
      </c>
      <c r="L115" s="5">
        <f>21844.39</f>
        <v>21844.39</v>
      </c>
      <c r="M115" s="5">
        <f>5809</f>
        <v>5809</v>
      </c>
      <c r="N115" s="5">
        <f t="shared" si="30"/>
        <v>52299.88</v>
      </c>
    </row>
    <row r="116" spans="1:14" x14ac:dyDescent="0.25">
      <c r="A116" s="3" t="s">
        <v>123</v>
      </c>
      <c r="B116" s="5">
        <f>1358.25</f>
        <v>1358.25</v>
      </c>
      <c r="C116" s="5">
        <f>1758.25</f>
        <v>1758.25</v>
      </c>
      <c r="D116" s="5">
        <f>1558.25</f>
        <v>1558.25</v>
      </c>
      <c r="E116" s="5">
        <f>1558.25</f>
        <v>1558.25</v>
      </c>
      <c r="F116" s="5">
        <f t="shared" si="34"/>
        <v>1358.25</v>
      </c>
      <c r="G116" s="5">
        <f t="shared" si="34"/>
        <v>1358.25</v>
      </c>
      <c r="H116" s="5">
        <f t="shared" si="34"/>
        <v>1358.25</v>
      </c>
      <c r="I116" s="5">
        <f>9149.07</f>
        <v>9149.07</v>
      </c>
      <c r="J116" s="5">
        <f>200</f>
        <v>200</v>
      </c>
      <c r="K116" s="5">
        <f>200</f>
        <v>200</v>
      </c>
      <c r="L116" s="5">
        <f>21744.37</f>
        <v>21744.37</v>
      </c>
      <c r="M116" s="5">
        <f>5709</f>
        <v>5709</v>
      </c>
      <c r="N116" s="5">
        <f t="shared" si="30"/>
        <v>47310.19</v>
      </c>
    </row>
    <row r="117" spans="1:14" x14ac:dyDescent="0.25">
      <c r="A117" s="3" t="s">
        <v>124</v>
      </c>
      <c r="B117" s="4"/>
      <c r="C117" s="4"/>
      <c r="D117" s="4"/>
      <c r="E117" s="4"/>
      <c r="F117" s="4"/>
      <c r="G117" s="4"/>
      <c r="H117" s="4"/>
      <c r="I117" s="4"/>
      <c r="J117" s="5">
        <f>-18.35</f>
        <v>-18.350000000000001</v>
      </c>
      <c r="K117" s="4"/>
      <c r="L117" s="4"/>
      <c r="M117" s="4"/>
      <c r="N117" s="5">
        <f t="shared" si="30"/>
        <v>-18.350000000000001</v>
      </c>
    </row>
    <row r="118" spans="1:14" x14ac:dyDescent="0.25">
      <c r="A118" s="3" t="s">
        <v>125</v>
      </c>
      <c r="B118" s="6">
        <f t="shared" ref="B118:M118" si="35">(((B114)+(B115))+(B116))+(B117)</f>
        <v>2716.5</v>
      </c>
      <c r="C118" s="6">
        <f t="shared" si="35"/>
        <v>3716.5</v>
      </c>
      <c r="D118" s="6">
        <f t="shared" si="35"/>
        <v>3216.5</v>
      </c>
      <c r="E118" s="6">
        <f t="shared" si="35"/>
        <v>3216.5</v>
      </c>
      <c r="F118" s="6">
        <f t="shared" si="35"/>
        <v>2716.5</v>
      </c>
      <c r="G118" s="6">
        <f t="shared" si="35"/>
        <v>2716.5</v>
      </c>
      <c r="H118" s="6">
        <f t="shared" si="35"/>
        <v>2716.5</v>
      </c>
      <c r="I118" s="6">
        <f t="shared" si="35"/>
        <v>22487.809999999998</v>
      </c>
      <c r="J118" s="6">
        <f t="shared" si="35"/>
        <v>481.65</v>
      </c>
      <c r="K118" s="6">
        <f t="shared" si="35"/>
        <v>500</v>
      </c>
      <c r="L118" s="6">
        <f t="shared" si="35"/>
        <v>43588.759999999995</v>
      </c>
      <c r="M118" s="6">
        <f t="shared" si="35"/>
        <v>11518</v>
      </c>
      <c r="N118" s="6">
        <f t="shared" si="30"/>
        <v>99591.72</v>
      </c>
    </row>
    <row r="119" spans="1:14" x14ac:dyDescent="0.25">
      <c r="A119" s="3" t="s">
        <v>126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5">
        <f t="shared" si="30"/>
        <v>0</v>
      </c>
    </row>
    <row r="120" spans="1:14" x14ac:dyDescent="0.25">
      <c r="A120" s="3" t="s">
        <v>127</v>
      </c>
      <c r="B120" s="5">
        <f>67.9</f>
        <v>67.900000000000006</v>
      </c>
      <c r="C120" s="4"/>
      <c r="D120" s="5">
        <f>122.86</f>
        <v>122.86</v>
      </c>
      <c r="E120" s="5">
        <f>122.86</f>
        <v>122.86</v>
      </c>
      <c r="F120" s="4"/>
      <c r="G120" s="4"/>
      <c r="H120" s="5">
        <f>22.72</f>
        <v>22.72</v>
      </c>
      <c r="I120" s="5">
        <f>29.22</f>
        <v>29.22</v>
      </c>
      <c r="J120" s="4"/>
      <c r="K120" s="5">
        <f>97.41</f>
        <v>97.41</v>
      </c>
      <c r="L120" s="5">
        <f>860.14</f>
        <v>860.14</v>
      </c>
      <c r="M120" s="4"/>
      <c r="N120" s="5">
        <f t="shared" si="30"/>
        <v>1323.1100000000001</v>
      </c>
    </row>
    <row r="121" spans="1:14" x14ac:dyDescent="0.25">
      <c r="A121" s="3" t="s">
        <v>128</v>
      </c>
      <c r="B121" s="5">
        <f>45.26</f>
        <v>45.26</v>
      </c>
      <c r="C121" s="4"/>
      <c r="D121" s="5">
        <f>81.91</f>
        <v>81.91</v>
      </c>
      <c r="E121" s="5">
        <f>81.91</f>
        <v>81.91</v>
      </c>
      <c r="F121" s="4"/>
      <c r="G121" s="4"/>
      <c r="H121" s="4"/>
      <c r="I121" s="4"/>
      <c r="J121" s="4"/>
      <c r="K121" s="4"/>
      <c r="L121" s="4"/>
      <c r="M121" s="4"/>
      <c r="N121" s="5">
        <f t="shared" si="30"/>
        <v>209.07999999999998</v>
      </c>
    </row>
    <row r="122" spans="1:14" x14ac:dyDescent="0.25">
      <c r="A122" s="3" t="s">
        <v>129</v>
      </c>
      <c r="B122" s="6">
        <f t="shared" ref="B122:M122" si="36">((B119)+(B120))+(B121)</f>
        <v>113.16</v>
      </c>
      <c r="C122" s="6">
        <f t="shared" si="36"/>
        <v>0</v>
      </c>
      <c r="D122" s="6">
        <f t="shared" si="36"/>
        <v>204.76999999999998</v>
      </c>
      <c r="E122" s="6">
        <f t="shared" si="36"/>
        <v>204.76999999999998</v>
      </c>
      <c r="F122" s="6">
        <f t="shared" si="36"/>
        <v>0</v>
      </c>
      <c r="G122" s="6">
        <f t="shared" si="36"/>
        <v>0</v>
      </c>
      <c r="H122" s="6">
        <f t="shared" si="36"/>
        <v>22.72</v>
      </c>
      <c r="I122" s="6">
        <f t="shared" si="36"/>
        <v>29.22</v>
      </c>
      <c r="J122" s="6">
        <f t="shared" si="36"/>
        <v>0</v>
      </c>
      <c r="K122" s="6">
        <f t="shared" si="36"/>
        <v>97.41</v>
      </c>
      <c r="L122" s="6">
        <f t="shared" si="36"/>
        <v>860.14</v>
      </c>
      <c r="M122" s="6">
        <f t="shared" si="36"/>
        <v>0</v>
      </c>
      <c r="N122" s="6">
        <f t="shared" si="30"/>
        <v>1532.19</v>
      </c>
    </row>
    <row r="123" spans="1:14" x14ac:dyDescent="0.25">
      <c r="A123" s="3" t="s">
        <v>130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5">
        <f>115.28</f>
        <v>115.28</v>
      </c>
      <c r="M123" s="4"/>
      <c r="N123" s="5">
        <f t="shared" si="30"/>
        <v>115.28</v>
      </c>
    </row>
    <row r="124" spans="1:14" x14ac:dyDescent="0.25">
      <c r="A124" s="3" t="s">
        <v>131</v>
      </c>
      <c r="B124" s="5">
        <f>256.81</f>
        <v>256.81</v>
      </c>
      <c r="C124" s="5">
        <f>409.02</f>
        <v>409.02</v>
      </c>
      <c r="D124" s="5">
        <f>437.64</f>
        <v>437.64</v>
      </c>
      <c r="E124" s="5">
        <f>437.37</f>
        <v>437.37</v>
      </c>
      <c r="F124" s="5">
        <f>1177.62</f>
        <v>1177.6199999999999</v>
      </c>
      <c r="G124" s="5">
        <f>754.04</f>
        <v>754.04</v>
      </c>
      <c r="H124" s="5">
        <f>727.1</f>
        <v>727.1</v>
      </c>
      <c r="I124" s="5">
        <f>445.1</f>
        <v>445.1</v>
      </c>
      <c r="J124" s="5">
        <f>521.13</f>
        <v>521.13</v>
      </c>
      <c r="K124" s="5">
        <f>2825.23</f>
        <v>2825.23</v>
      </c>
      <c r="L124" s="5">
        <f>703.55</f>
        <v>703.55</v>
      </c>
      <c r="M124" s="5">
        <f>821.09</f>
        <v>821.09</v>
      </c>
      <c r="N124" s="5">
        <f t="shared" si="30"/>
        <v>9515.6999999999989</v>
      </c>
    </row>
    <row r="125" spans="1:14" x14ac:dyDescent="0.25">
      <c r="A125" s="3" t="s">
        <v>132</v>
      </c>
      <c r="B125" s="5">
        <f>261.55</f>
        <v>261.55</v>
      </c>
      <c r="C125" s="5">
        <f>263.68</f>
        <v>263.68</v>
      </c>
      <c r="D125" s="5">
        <f>282.77</f>
        <v>282.77</v>
      </c>
      <c r="E125" s="5">
        <f>282.48</f>
        <v>282.48</v>
      </c>
      <c r="F125" s="5">
        <f>527.21</f>
        <v>527.21</v>
      </c>
      <c r="G125" s="5">
        <f>493.89</f>
        <v>493.89</v>
      </c>
      <c r="H125" s="5">
        <f>475.22</f>
        <v>475.22</v>
      </c>
      <c r="I125" s="5">
        <f>270.28</f>
        <v>270.27999999999997</v>
      </c>
      <c r="J125" s="5">
        <f>271.75</f>
        <v>271.75</v>
      </c>
      <c r="K125" s="5">
        <f>273.57</f>
        <v>273.57</v>
      </c>
      <c r="L125" s="5">
        <f>440.65</f>
        <v>440.65</v>
      </c>
      <c r="M125" s="5">
        <f>754.71</f>
        <v>754.71</v>
      </c>
      <c r="N125" s="5">
        <f t="shared" si="30"/>
        <v>4597.76</v>
      </c>
    </row>
    <row r="126" spans="1:14" x14ac:dyDescent="0.25">
      <c r="A126" s="3" t="s">
        <v>133</v>
      </c>
      <c r="B126" s="6">
        <f t="shared" ref="B126:M126" si="37">((B123)+(B124))+(B125)</f>
        <v>518.36</v>
      </c>
      <c r="C126" s="6">
        <f t="shared" si="37"/>
        <v>672.7</v>
      </c>
      <c r="D126" s="6">
        <f t="shared" si="37"/>
        <v>720.41</v>
      </c>
      <c r="E126" s="6">
        <f t="shared" si="37"/>
        <v>719.85</v>
      </c>
      <c r="F126" s="6">
        <f t="shared" si="37"/>
        <v>1704.83</v>
      </c>
      <c r="G126" s="6">
        <f t="shared" si="37"/>
        <v>1247.9299999999998</v>
      </c>
      <c r="H126" s="6">
        <f t="shared" si="37"/>
        <v>1202.3200000000002</v>
      </c>
      <c r="I126" s="6">
        <f t="shared" si="37"/>
        <v>715.38</v>
      </c>
      <c r="J126" s="6">
        <f t="shared" si="37"/>
        <v>792.88</v>
      </c>
      <c r="K126" s="6">
        <f t="shared" si="37"/>
        <v>3098.8</v>
      </c>
      <c r="L126" s="6">
        <f t="shared" si="37"/>
        <v>1259.48</v>
      </c>
      <c r="M126" s="6">
        <f t="shared" si="37"/>
        <v>1575.8000000000002</v>
      </c>
      <c r="N126" s="6">
        <f t="shared" si="30"/>
        <v>14228.739999999998</v>
      </c>
    </row>
    <row r="127" spans="1:14" x14ac:dyDescent="0.25">
      <c r="A127" s="3" t="s">
        <v>134</v>
      </c>
      <c r="B127" s="4"/>
      <c r="C127" s="4"/>
      <c r="D127" s="4"/>
      <c r="E127" s="4"/>
      <c r="F127" s="4"/>
      <c r="G127" s="4"/>
      <c r="H127" s="4"/>
      <c r="I127" s="5">
        <f>0.15</f>
        <v>0.15</v>
      </c>
      <c r="J127" s="4"/>
      <c r="K127" s="4"/>
      <c r="L127" s="4"/>
      <c r="M127" s="4"/>
      <c r="N127" s="5">
        <f t="shared" si="30"/>
        <v>0.15</v>
      </c>
    </row>
    <row r="128" spans="1:14" x14ac:dyDescent="0.25">
      <c r="A128" s="3" t="s">
        <v>135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5">
        <f t="shared" si="30"/>
        <v>0</v>
      </c>
    </row>
    <row r="129" spans="1:14" x14ac:dyDescent="0.25">
      <c r="A129" s="3" t="s">
        <v>136</v>
      </c>
      <c r="B129" s="5">
        <f>210.96</f>
        <v>210.96</v>
      </c>
      <c r="C129" s="5">
        <f>151.2</f>
        <v>151.19999999999999</v>
      </c>
      <c r="D129" s="5">
        <f>503.4</f>
        <v>503.4</v>
      </c>
      <c r="E129" s="5">
        <f>228.6</f>
        <v>228.6</v>
      </c>
      <c r="F129" s="5">
        <f>284.4</f>
        <v>284.39999999999998</v>
      </c>
      <c r="G129" s="5">
        <f>86.4</f>
        <v>86.4</v>
      </c>
      <c r="H129" s="5">
        <f>309.6</f>
        <v>309.60000000000002</v>
      </c>
      <c r="I129" s="5">
        <f>66</f>
        <v>66</v>
      </c>
      <c r="J129" s="5">
        <f>280.8</f>
        <v>280.8</v>
      </c>
      <c r="K129" s="5">
        <f>79.2</f>
        <v>79.2</v>
      </c>
      <c r="L129" s="5">
        <f>412.32</f>
        <v>412.32</v>
      </c>
      <c r="M129" s="5">
        <f>658.8</f>
        <v>658.8</v>
      </c>
      <c r="N129" s="5">
        <f t="shared" si="30"/>
        <v>3271.6800000000003</v>
      </c>
    </row>
    <row r="130" spans="1:14" x14ac:dyDescent="0.25">
      <c r="A130" s="3" t="s">
        <v>137</v>
      </c>
      <c r="B130" s="5">
        <f>140.64</f>
        <v>140.63999999999999</v>
      </c>
      <c r="C130" s="5">
        <f>100.8</f>
        <v>100.8</v>
      </c>
      <c r="D130" s="5">
        <f>335.6</f>
        <v>335.6</v>
      </c>
      <c r="E130" s="5">
        <f>152.4</f>
        <v>152.4</v>
      </c>
      <c r="F130" s="5">
        <f>189.6</f>
        <v>189.6</v>
      </c>
      <c r="G130" s="5">
        <f>57.6</f>
        <v>57.6</v>
      </c>
      <c r="H130" s="5">
        <f>206.4</f>
        <v>206.4</v>
      </c>
      <c r="I130" s="5">
        <f>155.84</f>
        <v>155.84</v>
      </c>
      <c r="J130" s="5">
        <f>187.2</f>
        <v>187.2</v>
      </c>
      <c r="K130" s="5">
        <f>52.8</f>
        <v>52.8</v>
      </c>
      <c r="L130" s="5">
        <f>274.88</f>
        <v>274.88</v>
      </c>
      <c r="M130" s="5">
        <f>439.2</f>
        <v>439.2</v>
      </c>
      <c r="N130" s="5">
        <f t="shared" si="30"/>
        <v>2292.9599999999996</v>
      </c>
    </row>
    <row r="131" spans="1:14" x14ac:dyDescent="0.25">
      <c r="A131" s="3" t="s">
        <v>138</v>
      </c>
      <c r="B131" s="6">
        <f t="shared" ref="B131:M131" si="38">((B128)+(B129))+(B130)</f>
        <v>351.6</v>
      </c>
      <c r="C131" s="6">
        <f t="shared" si="38"/>
        <v>252</v>
      </c>
      <c r="D131" s="6">
        <f t="shared" si="38"/>
        <v>839</v>
      </c>
      <c r="E131" s="6">
        <f t="shared" si="38"/>
        <v>381</v>
      </c>
      <c r="F131" s="6">
        <f t="shared" si="38"/>
        <v>474</v>
      </c>
      <c r="G131" s="6">
        <f t="shared" si="38"/>
        <v>144</v>
      </c>
      <c r="H131" s="6">
        <f t="shared" si="38"/>
        <v>516</v>
      </c>
      <c r="I131" s="6">
        <f t="shared" si="38"/>
        <v>221.84</v>
      </c>
      <c r="J131" s="6">
        <f t="shared" si="38"/>
        <v>468</v>
      </c>
      <c r="K131" s="6">
        <f t="shared" si="38"/>
        <v>132</v>
      </c>
      <c r="L131" s="6">
        <f t="shared" si="38"/>
        <v>687.2</v>
      </c>
      <c r="M131" s="6">
        <f t="shared" si="38"/>
        <v>1098</v>
      </c>
      <c r="N131" s="6">
        <f t="shared" si="30"/>
        <v>5564.64</v>
      </c>
    </row>
    <row r="132" spans="1:14" x14ac:dyDescent="0.25">
      <c r="A132" s="3" t="s">
        <v>139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5">
        <f t="shared" si="30"/>
        <v>0</v>
      </c>
    </row>
    <row r="133" spans="1:14" x14ac:dyDescent="0.25">
      <c r="A133" s="3" t="s">
        <v>140</v>
      </c>
      <c r="B133" s="4"/>
      <c r="C133" s="4"/>
      <c r="D133" s="4"/>
      <c r="E133" s="4"/>
      <c r="F133" s="4"/>
      <c r="G133" s="4"/>
      <c r="H133" s="4"/>
      <c r="I133" s="4"/>
      <c r="J133" s="5">
        <f>200.98</f>
        <v>200.98</v>
      </c>
      <c r="K133" s="4"/>
      <c r="L133" s="4"/>
      <c r="M133" s="4"/>
      <c r="N133" s="5">
        <f t="shared" si="30"/>
        <v>200.98</v>
      </c>
    </row>
    <row r="134" spans="1:14" x14ac:dyDescent="0.25">
      <c r="A134" s="3" t="s">
        <v>141</v>
      </c>
      <c r="B134" s="4"/>
      <c r="C134" s="4"/>
      <c r="D134" s="4"/>
      <c r="E134" s="4"/>
      <c r="F134" s="4"/>
      <c r="G134" s="4"/>
      <c r="H134" s="4"/>
      <c r="I134" s="4"/>
      <c r="J134" s="5">
        <f>200.97</f>
        <v>200.97</v>
      </c>
      <c r="K134" s="4"/>
      <c r="L134" s="4"/>
      <c r="M134" s="4"/>
      <c r="N134" s="5">
        <f t="shared" si="30"/>
        <v>200.97</v>
      </c>
    </row>
    <row r="135" spans="1:14" x14ac:dyDescent="0.25">
      <c r="A135" s="3" t="s">
        <v>142</v>
      </c>
      <c r="B135" s="6">
        <f t="shared" ref="B135:M135" si="39">((B132)+(B133))+(B134)</f>
        <v>0</v>
      </c>
      <c r="C135" s="6">
        <f t="shared" si="39"/>
        <v>0</v>
      </c>
      <c r="D135" s="6">
        <f t="shared" si="39"/>
        <v>0</v>
      </c>
      <c r="E135" s="6">
        <f t="shared" si="39"/>
        <v>0</v>
      </c>
      <c r="F135" s="6">
        <f t="shared" si="39"/>
        <v>0</v>
      </c>
      <c r="G135" s="6">
        <f t="shared" si="39"/>
        <v>0</v>
      </c>
      <c r="H135" s="6">
        <f t="shared" si="39"/>
        <v>0</v>
      </c>
      <c r="I135" s="6">
        <f t="shared" si="39"/>
        <v>0</v>
      </c>
      <c r="J135" s="6">
        <f t="shared" si="39"/>
        <v>401.95</v>
      </c>
      <c r="K135" s="6">
        <f t="shared" si="39"/>
        <v>0</v>
      </c>
      <c r="L135" s="6">
        <f t="shared" si="39"/>
        <v>0</v>
      </c>
      <c r="M135" s="6">
        <f t="shared" si="39"/>
        <v>0</v>
      </c>
      <c r="N135" s="6">
        <f t="shared" si="30"/>
        <v>401.95</v>
      </c>
    </row>
    <row r="136" spans="1:14" x14ac:dyDescent="0.25">
      <c r="A136" s="3" t="s">
        <v>143</v>
      </c>
      <c r="B136" s="4"/>
      <c r="C136" s="4"/>
      <c r="D136" s="4"/>
      <c r="E136" s="4"/>
      <c r="F136" s="5">
        <f>1600</f>
        <v>1600</v>
      </c>
      <c r="G136" s="4"/>
      <c r="H136" s="4"/>
      <c r="I136" s="4"/>
      <c r="J136" s="4"/>
      <c r="K136" s="4"/>
      <c r="L136" s="4"/>
      <c r="M136" s="4"/>
      <c r="N136" s="5">
        <f t="shared" ref="N136:N167" si="40">(((((((((((B136)+(C136))+(D136))+(E136))+(F136))+(G136))+(H136))+(I136))+(J136))+(K136))+(L136))+(M136)</f>
        <v>1600</v>
      </c>
    </row>
    <row r="137" spans="1:14" x14ac:dyDescent="0.25">
      <c r="A137" s="3" t="s">
        <v>144</v>
      </c>
      <c r="B137" s="5">
        <f>4475</f>
        <v>4475</v>
      </c>
      <c r="C137" s="5">
        <f>3295</f>
        <v>3295</v>
      </c>
      <c r="D137" s="5">
        <f>2358.99</f>
        <v>2358.9899999999998</v>
      </c>
      <c r="E137" s="5">
        <f>7443.06</f>
        <v>7443.06</v>
      </c>
      <c r="F137" s="5">
        <f>8321.42</f>
        <v>8321.42</v>
      </c>
      <c r="G137" s="5">
        <f>3354.07</f>
        <v>3354.07</v>
      </c>
      <c r="H137" s="5">
        <f>3658</f>
        <v>3658</v>
      </c>
      <c r="I137" s="5">
        <f>14770.78</f>
        <v>14770.78</v>
      </c>
      <c r="J137" s="5">
        <f>16222.36</f>
        <v>16222.36</v>
      </c>
      <c r="K137" s="5">
        <f>11140</f>
        <v>11140</v>
      </c>
      <c r="L137" s="5">
        <f>6311.82</f>
        <v>6311.82</v>
      </c>
      <c r="M137" s="5">
        <f>8195.72</f>
        <v>8195.7199999999993</v>
      </c>
      <c r="N137" s="5">
        <f t="shared" si="40"/>
        <v>89546.22</v>
      </c>
    </row>
    <row r="138" spans="1:14" x14ac:dyDescent="0.25">
      <c r="A138" s="3" t="s">
        <v>145</v>
      </c>
      <c r="B138" s="5">
        <f>1335</f>
        <v>1335</v>
      </c>
      <c r="C138" s="5">
        <f>1358.12</f>
        <v>1358.12</v>
      </c>
      <c r="D138" s="5">
        <f>6125.4</f>
        <v>6125.4</v>
      </c>
      <c r="E138" s="5">
        <f>1511.39</f>
        <v>1511.39</v>
      </c>
      <c r="F138" s="5">
        <f>3414.8</f>
        <v>3414.8</v>
      </c>
      <c r="G138" s="5">
        <f>3463.59</f>
        <v>3463.59</v>
      </c>
      <c r="H138" s="5">
        <f>1770</f>
        <v>1770</v>
      </c>
      <c r="I138" s="5">
        <f>671.95</f>
        <v>671.95</v>
      </c>
      <c r="J138" s="5">
        <f>1055</f>
        <v>1055</v>
      </c>
      <c r="K138" s="5">
        <f>5516.77</f>
        <v>5516.77</v>
      </c>
      <c r="L138" s="5">
        <f>405</f>
        <v>405</v>
      </c>
      <c r="M138" s="5">
        <f>1298.58</f>
        <v>1298.58</v>
      </c>
      <c r="N138" s="5">
        <f t="shared" si="40"/>
        <v>27925.599999999999</v>
      </c>
    </row>
    <row r="139" spans="1:14" x14ac:dyDescent="0.25">
      <c r="A139" s="3" t="s">
        <v>146</v>
      </c>
      <c r="B139" s="6">
        <f t="shared" ref="B139:M139" si="41">((B136)+(B137))+(B138)</f>
        <v>5810</v>
      </c>
      <c r="C139" s="6">
        <f t="shared" si="41"/>
        <v>4653.12</v>
      </c>
      <c r="D139" s="6">
        <f t="shared" si="41"/>
        <v>8484.39</v>
      </c>
      <c r="E139" s="6">
        <f t="shared" si="41"/>
        <v>8954.4500000000007</v>
      </c>
      <c r="F139" s="6">
        <f t="shared" si="41"/>
        <v>13336.220000000001</v>
      </c>
      <c r="G139" s="6">
        <f t="shared" si="41"/>
        <v>6817.66</v>
      </c>
      <c r="H139" s="6">
        <f t="shared" si="41"/>
        <v>5428</v>
      </c>
      <c r="I139" s="6">
        <f t="shared" si="41"/>
        <v>15442.730000000001</v>
      </c>
      <c r="J139" s="6">
        <f t="shared" si="41"/>
        <v>17277.36</v>
      </c>
      <c r="K139" s="6">
        <f t="shared" si="41"/>
        <v>16656.77</v>
      </c>
      <c r="L139" s="6">
        <f t="shared" si="41"/>
        <v>6716.82</v>
      </c>
      <c r="M139" s="6">
        <f t="shared" si="41"/>
        <v>9494.2999999999993</v>
      </c>
      <c r="N139" s="6">
        <f t="shared" si="40"/>
        <v>119071.81999999999</v>
      </c>
    </row>
    <row r="140" spans="1:14" x14ac:dyDescent="0.25">
      <c r="A140" s="3" t="s">
        <v>147</v>
      </c>
      <c r="B140" s="4"/>
      <c r="C140" s="4"/>
      <c r="D140" s="4"/>
      <c r="E140" s="4"/>
      <c r="F140" s="4"/>
      <c r="G140" s="4"/>
      <c r="H140" s="4"/>
      <c r="I140" s="4"/>
      <c r="J140" s="4"/>
      <c r="K140" s="5">
        <f>1800</f>
        <v>1800</v>
      </c>
      <c r="L140" s="4"/>
      <c r="M140" s="4"/>
      <c r="N140" s="5">
        <f t="shared" si="40"/>
        <v>1800</v>
      </c>
    </row>
    <row r="141" spans="1:14" x14ac:dyDescent="0.25">
      <c r="A141" s="3" t="s">
        <v>148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5">
        <f t="shared" si="40"/>
        <v>0</v>
      </c>
    </row>
    <row r="142" spans="1:14" x14ac:dyDescent="0.25">
      <c r="A142" s="3" t="s">
        <v>149</v>
      </c>
      <c r="B142" s="5">
        <f>829.26</f>
        <v>829.26</v>
      </c>
      <c r="C142" s="4"/>
      <c r="D142" s="4"/>
      <c r="E142" s="4"/>
      <c r="F142" s="5">
        <f>3121.61</f>
        <v>3121.61</v>
      </c>
      <c r="G142" s="5">
        <f>6272.57</f>
        <v>6272.57</v>
      </c>
      <c r="H142" s="5">
        <f>5957.12</f>
        <v>5957.12</v>
      </c>
      <c r="I142" s="5">
        <f>13148.11</f>
        <v>13148.11</v>
      </c>
      <c r="J142" s="5">
        <f>2264.28</f>
        <v>2264.2800000000002</v>
      </c>
      <c r="K142" s="5">
        <f>6937.92</f>
        <v>6937.92</v>
      </c>
      <c r="L142" s="5">
        <f>12264.29</f>
        <v>12264.29</v>
      </c>
      <c r="M142" s="5">
        <f>2585.99</f>
        <v>2585.9899999999998</v>
      </c>
      <c r="N142" s="5">
        <f t="shared" si="40"/>
        <v>53381.149999999994</v>
      </c>
    </row>
    <row r="143" spans="1:14" x14ac:dyDescent="0.25">
      <c r="A143" s="3" t="s">
        <v>150</v>
      </c>
      <c r="B143" s="4"/>
      <c r="C143" s="4"/>
      <c r="D143" s="5">
        <f>2115</f>
        <v>2115</v>
      </c>
      <c r="E143" s="4"/>
      <c r="F143" s="5">
        <f>2141.85</f>
        <v>2141.85</v>
      </c>
      <c r="G143" s="5">
        <f>1346.25</f>
        <v>1346.25</v>
      </c>
      <c r="H143" s="5">
        <f>854.22</f>
        <v>854.22</v>
      </c>
      <c r="I143" s="5">
        <f>804.45</f>
        <v>804.45</v>
      </c>
      <c r="J143" s="4"/>
      <c r="K143" s="4"/>
      <c r="L143" s="4"/>
      <c r="M143" s="5">
        <f>584.19</f>
        <v>584.19000000000005</v>
      </c>
      <c r="N143" s="5">
        <f t="shared" si="40"/>
        <v>7845.9600000000009</v>
      </c>
    </row>
    <row r="144" spans="1:14" x14ac:dyDescent="0.25">
      <c r="A144" s="3" t="s">
        <v>151</v>
      </c>
      <c r="B144" s="6">
        <f t="shared" ref="B144:M144" si="42">((B141)+(B142))+(B143)</f>
        <v>829.26</v>
      </c>
      <c r="C144" s="6">
        <f t="shared" si="42"/>
        <v>0</v>
      </c>
      <c r="D144" s="6">
        <f t="shared" si="42"/>
        <v>2115</v>
      </c>
      <c r="E144" s="6">
        <f t="shared" si="42"/>
        <v>0</v>
      </c>
      <c r="F144" s="6">
        <f t="shared" si="42"/>
        <v>5263.46</v>
      </c>
      <c r="G144" s="6">
        <f t="shared" si="42"/>
        <v>7618.82</v>
      </c>
      <c r="H144" s="6">
        <f t="shared" si="42"/>
        <v>6811.34</v>
      </c>
      <c r="I144" s="6">
        <f t="shared" si="42"/>
        <v>13952.560000000001</v>
      </c>
      <c r="J144" s="6">
        <f t="shared" si="42"/>
        <v>2264.2800000000002</v>
      </c>
      <c r="K144" s="6">
        <f t="shared" si="42"/>
        <v>6937.92</v>
      </c>
      <c r="L144" s="6">
        <f t="shared" si="42"/>
        <v>12264.29</v>
      </c>
      <c r="M144" s="6">
        <f t="shared" si="42"/>
        <v>3170.18</v>
      </c>
      <c r="N144" s="6">
        <f t="shared" si="40"/>
        <v>61227.11</v>
      </c>
    </row>
    <row r="145" spans="1:14" x14ac:dyDescent="0.25">
      <c r="A145" s="3" t="s">
        <v>152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5">
        <f t="shared" si="40"/>
        <v>0</v>
      </c>
    </row>
    <row r="146" spans="1:14" x14ac:dyDescent="0.25">
      <c r="A146" s="3" t="s">
        <v>153</v>
      </c>
      <c r="B146" s="4"/>
      <c r="C146" s="4"/>
      <c r="D146" s="5">
        <f>327.6</f>
        <v>327.60000000000002</v>
      </c>
      <c r="E146" s="5">
        <f>96.57</f>
        <v>96.57</v>
      </c>
      <c r="F146" s="4"/>
      <c r="G146" s="4"/>
      <c r="H146" s="4"/>
      <c r="I146" s="5">
        <f>476.4</f>
        <v>476.4</v>
      </c>
      <c r="J146" s="4"/>
      <c r="K146" s="4"/>
      <c r="L146" s="4"/>
      <c r="M146" s="5">
        <f>195.38</f>
        <v>195.38</v>
      </c>
      <c r="N146" s="5">
        <f t="shared" si="40"/>
        <v>1095.9499999999998</v>
      </c>
    </row>
    <row r="147" spans="1:14" x14ac:dyDescent="0.25">
      <c r="A147" s="3" t="s">
        <v>154</v>
      </c>
      <c r="B147" s="4"/>
      <c r="C147" s="4"/>
      <c r="D147" s="5">
        <f>218.4</f>
        <v>218.4</v>
      </c>
      <c r="E147" s="5">
        <f>96.56</f>
        <v>96.56</v>
      </c>
      <c r="F147" s="4"/>
      <c r="G147" s="4"/>
      <c r="H147" s="4"/>
      <c r="I147" s="5">
        <f>317.6</f>
        <v>317.60000000000002</v>
      </c>
      <c r="J147" s="4"/>
      <c r="K147" s="4"/>
      <c r="L147" s="4"/>
      <c r="M147" s="5">
        <f>130.25</f>
        <v>130.25</v>
      </c>
      <c r="N147" s="5">
        <f t="shared" si="40"/>
        <v>762.81000000000006</v>
      </c>
    </row>
    <row r="148" spans="1:14" x14ac:dyDescent="0.25">
      <c r="A148" s="3" t="s">
        <v>155</v>
      </c>
      <c r="B148" s="6">
        <f t="shared" ref="B148:M148" si="43">((B145)+(B146))+(B147)</f>
        <v>0</v>
      </c>
      <c r="C148" s="6">
        <f t="shared" si="43"/>
        <v>0</v>
      </c>
      <c r="D148" s="6">
        <f t="shared" si="43"/>
        <v>546</v>
      </c>
      <c r="E148" s="6">
        <f t="shared" si="43"/>
        <v>193.13</v>
      </c>
      <c r="F148" s="6">
        <f t="shared" si="43"/>
        <v>0</v>
      </c>
      <c r="G148" s="6">
        <f t="shared" si="43"/>
        <v>0</v>
      </c>
      <c r="H148" s="6">
        <f t="shared" si="43"/>
        <v>0</v>
      </c>
      <c r="I148" s="6">
        <f t="shared" si="43"/>
        <v>794</v>
      </c>
      <c r="J148" s="6">
        <f t="shared" si="43"/>
        <v>0</v>
      </c>
      <c r="K148" s="6">
        <f t="shared" si="43"/>
        <v>0</v>
      </c>
      <c r="L148" s="6">
        <f t="shared" si="43"/>
        <v>0</v>
      </c>
      <c r="M148" s="6">
        <f t="shared" si="43"/>
        <v>325.63</v>
      </c>
      <c r="N148" s="6">
        <f t="shared" si="40"/>
        <v>1858.7600000000002</v>
      </c>
    </row>
    <row r="149" spans="1:14" x14ac:dyDescent="0.25">
      <c r="A149" s="3" t="s">
        <v>156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5">
        <f t="shared" si="40"/>
        <v>0</v>
      </c>
    </row>
    <row r="150" spans="1:14" x14ac:dyDescent="0.25">
      <c r="A150" s="3" t="s">
        <v>157</v>
      </c>
      <c r="B150" s="5">
        <f>1395.92</f>
        <v>1395.92</v>
      </c>
      <c r="C150" s="5">
        <f>1391.82</f>
        <v>1391.82</v>
      </c>
      <c r="D150" s="5">
        <f>1251.28</f>
        <v>1251.28</v>
      </c>
      <c r="E150" s="5">
        <f>1365.78</f>
        <v>1365.78</v>
      </c>
      <c r="F150" s="5">
        <f>1310.12</f>
        <v>1310.1199999999999</v>
      </c>
      <c r="G150" s="5">
        <f>1339.51</f>
        <v>1339.51</v>
      </c>
      <c r="H150" s="5">
        <f>1208.8</f>
        <v>1208.8</v>
      </c>
      <c r="I150" s="5">
        <f>1316.26</f>
        <v>1316.26</v>
      </c>
      <c r="J150" s="5">
        <f>1259.79</f>
        <v>1259.79</v>
      </c>
      <c r="K150" s="5">
        <f>1291.95</f>
        <v>1291.95</v>
      </c>
      <c r="L150" s="5">
        <f>906.17</f>
        <v>906.17</v>
      </c>
      <c r="M150" s="5">
        <f>1245.14</f>
        <v>1245.1400000000001</v>
      </c>
      <c r="N150" s="5">
        <f t="shared" si="40"/>
        <v>15282.539999999999</v>
      </c>
    </row>
    <row r="151" spans="1:14" x14ac:dyDescent="0.25">
      <c r="A151" s="3" t="s">
        <v>158</v>
      </c>
      <c r="B151" s="5">
        <f>749.72</f>
        <v>749.72</v>
      </c>
      <c r="C151" s="5">
        <f>747.55</f>
        <v>747.55</v>
      </c>
      <c r="D151" s="5">
        <f>670.65</f>
        <v>670.65</v>
      </c>
      <c r="E151" s="5">
        <f>725.14</f>
        <v>725.14</v>
      </c>
      <c r="F151" s="5">
        <f>691.92</f>
        <v>691.92</v>
      </c>
      <c r="G151" s="5">
        <f>702.43</f>
        <v>702.43</v>
      </c>
      <c r="H151" s="5">
        <f>644.11</f>
        <v>644.11</v>
      </c>
      <c r="I151" s="5">
        <f>674.13</f>
        <v>674.13</v>
      </c>
      <c r="J151" s="5">
        <f>617.89</f>
        <v>617.89</v>
      </c>
      <c r="K151" s="5">
        <f>656.69</f>
        <v>656.69</v>
      </c>
      <c r="L151" s="5">
        <f>665.32</f>
        <v>665.32</v>
      </c>
      <c r="M151" s="5">
        <f>639.31</f>
        <v>639.30999999999995</v>
      </c>
      <c r="N151" s="5">
        <f t="shared" si="40"/>
        <v>8184.8599999999988</v>
      </c>
    </row>
    <row r="152" spans="1:14" x14ac:dyDescent="0.25">
      <c r="A152" s="3" t="s">
        <v>159</v>
      </c>
      <c r="B152" s="6">
        <f t="shared" ref="B152:M152" si="44">((B149)+(B150))+(B151)</f>
        <v>2145.6400000000003</v>
      </c>
      <c r="C152" s="6">
        <f t="shared" si="44"/>
        <v>2139.37</v>
      </c>
      <c r="D152" s="6">
        <f t="shared" si="44"/>
        <v>1921.9299999999998</v>
      </c>
      <c r="E152" s="6">
        <f t="shared" si="44"/>
        <v>2090.92</v>
      </c>
      <c r="F152" s="6">
        <f t="shared" si="44"/>
        <v>2002.04</v>
      </c>
      <c r="G152" s="6">
        <f t="shared" si="44"/>
        <v>2041.94</v>
      </c>
      <c r="H152" s="6">
        <f t="shared" si="44"/>
        <v>1852.9099999999999</v>
      </c>
      <c r="I152" s="6">
        <f t="shared" si="44"/>
        <v>1990.3899999999999</v>
      </c>
      <c r="J152" s="6">
        <f t="shared" si="44"/>
        <v>1877.6799999999998</v>
      </c>
      <c r="K152" s="6">
        <f t="shared" si="44"/>
        <v>1948.64</v>
      </c>
      <c r="L152" s="6">
        <f t="shared" si="44"/>
        <v>1571.49</v>
      </c>
      <c r="M152" s="6">
        <f t="shared" si="44"/>
        <v>1884.45</v>
      </c>
      <c r="N152" s="6">
        <f t="shared" si="40"/>
        <v>23467.4</v>
      </c>
    </row>
    <row r="153" spans="1:14" x14ac:dyDescent="0.25">
      <c r="A153" s="3" t="s">
        <v>160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5">
        <f t="shared" si="40"/>
        <v>0</v>
      </c>
    </row>
    <row r="154" spans="1:14" x14ac:dyDescent="0.25">
      <c r="A154" s="3" t="s">
        <v>161</v>
      </c>
      <c r="B154" s="4"/>
      <c r="C154" s="5">
        <f>130</f>
        <v>130</v>
      </c>
      <c r="D154" s="5">
        <f>440</f>
        <v>440</v>
      </c>
      <c r="E154" s="4"/>
      <c r="F154" s="5">
        <f>1573.85</f>
        <v>1573.85</v>
      </c>
      <c r="G154" s="4"/>
      <c r="H154" s="4"/>
      <c r="I154" s="5">
        <f>275</f>
        <v>275</v>
      </c>
      <c r="J154" s="4"/>
      <c r="K154" s="5">
        <f>322.3</f>
        <v>322.3</v>
      </c>
      <c r="L154" s="5">
        <f>500</f>
        <v>500</v>
      </c>
      <c r="M154" s="5">
        <f>704.53</f>
        <v>704.53</v>
      </c>
      <c r="N154" s="5">
        <f t="shared" si="40"/>
        <v>3945.6800000000003</v>
      </c>
    </row>
    <row r="155" spans="1:14" x14ac:dyDescent="0.25">
      <c r="A155" s="3" t="s">
        <v>162</v>
      </c>
      <c r="B155" s="4"/>
      <c r="C155" s="5">
        <f>50</f>
        <v>50</v>
      </c>
      <c r="D155" s="5">
        <f>40</f>
        <v>40</v>
      </c>
      <c r="E155" s="4"/>
      <c r="F155" s="5">
        <f>520.34</f>
        <v>520.34</v>
      </c>
      <c r="G155" s="4"/>
      <c r="H155" s="4"/>
      <c r="I155" s="4"/>
      <c r="J155" s="4"/>
      <c r="K155" s="5">
        <f>62.5</f>
        <v>62.5</v>
      </c>
      <c r="L155" s="5">
        <f>500</f>
        <v>500</v>
      </c>
      <c r="M155" s="5">
        <f>483.02</f>
        <v>483.02</v>
      </c>
      <c r="N155" s="5">
        <f t="shared" si="40"/>
        <v>1655.8600000000001</v>
      </c>
    </row>
    <row r="156" spans="1:14" x14ac:dyDescent="0.25">
      <c r="A156" s="3" t="s">
        <v>163</v>
      </c>
      <c r="B156" s="6">
        <f t="shared" ref="B156:M156" si="45">((B153)+(B154))+(B155)</f>
        <v>0</v>
      </c>
      <c r="C156" s="6">
        <f t="shared" si="45"/>
        <v>180</v>
      </c>
      <c r="D156" s="6">
        <f t="shared" si="45"/>
        <v>480</v>
      </c>
      <c r="E156" s="6">
        <f t="shared" si="45"/>
        <v>0</v>
      </c>
      <c r="F156" s="6">
        <f t="shared" si="45"/>
        <v>2094.19</v>
      </c>
      <c r="G156" s="6">
        <f t="shared" si="45"/>
        <v>0</v>
      </c>
      <c r="H156" s="6">
        <f t="shared" si="45"/>
        <v>0</v>
      </c>
      <c r="I156" s="6">
        <f t="shared" si="45"/>
        <v>275</v>
      </c>
      <c r="J156" s="6">
        <f t="shared" si="45"/>
        <v>0</v>
      </c>
      <c r="K156" s="6">
        <f t="shared" si="45"/>
        <v>384.8</v>
      </c>
      <c r="L156" s="6">
        <f t="shared" si="45"/>
        <v>1000</v>
      </c>
      <c r="M156" s="6">
        <f t="shared" si="45"/>
        <v>1187.55</v>
      </c>
      <c r="N156" s="6">
        <f t="shared" si="40"/>
        <v>5601.54</v>
      </c>
    </row>
    <row r="157" spans="1:14" x14ac:dyDescent="0.25">
      <c r="A157" s="3" t="s">
        <v>164</v>
      </c>
      <c r="B157" s="6">
        <f t="shared" ref="B157:M157" si="46">((((((((((((((((((((((B75)+(B76))+(B80))+(B84))+(B88))+(B92))+(B95))+(B101))+(B105))+(B109))+(B113))+(B118))+(B122))+(B126))+(B127))+(B131))+(B135))+(B139))+(B140))+(B144))+(B148))+(B152))+(B156)</f>
        <v>40753.97</v>
      </c>
      <c r="C157" s="6">
        <f t="shared" si="46"/>
        <v>24940.76</v>
      </c>
      <c r="D157" s="6">
        <f t="shared" si="46"/>
        <v>53012.75</v>
      </c>
      <c r="E157" s="6">
        <f t="shared" si="46"/>
        <v>30637.599999999999</v>
      </c>
      <c r="F157" s="6">
        <f t="shared" si="46"/>
        <v>62416.010000000009</v>
      </c>
      <c r="G157" s="6">
        <f t="shared" si="46"/>
        <v>38155.820000000007</v>
      </c>
      <c r="H157" s="6">
        <f t="shared" si="46"/>
        <v>285780.49999999994</v>
      </c>
      <c r="I157" s="6">
        <f t="shared" si="46"/>
        <v>250875.7</v>
      </c>
      <c r="J157" s="6">
        <f t="shared" si="46"/>
        <v>43993.3</v>
      </c>
      <c r="K157" s="6">
        <f t="shared" si="46"/>
        <v>53268.34</v>
      </c>
      <c r="L157" s="6">
        <f t="shared" si="46"/>
        <v>91944.180000000008</v>
      </c>
      <c r="M157" s="6">
        <f t="shared" si="46"/>
        <v>582954.38000000012</v>
      </c>
      <c r="N157" s="6">
        <f t="shared" si="40"/>
        <v>1558733.31</v>
      </c>
    </row>
    <row r="158" spans="1:14" x14ac:dyDescent="0.25">
      <c r="A158" s="3" t="s">
        <v>165</v>
      </c>
      <c r="B158" s="6">
        <f t="shared" ref="B158:M158" si="47">(B70)-(B157)</f>
        <v>12511.689999999988</v>
      </c>
      <c r="C158" s="6">
        <f t="shared" si="47"/>
        <v>91746.15</v>
      </c>
      <c r="D158" s="6">
        <f t="shared" si="47"/>
        <v>8567.3700000000099</v>
      </c>
      <c r="E158" s="6">
        <f t="shared" si="47"/>
        <v>18062.929999999993</v>
      </c>
      <c r="F158" s="6">
        <f t="shared" si="47"/>
        <v>-12824.260000000009</v>
      </c>
      <c r="G158" s="6">
        <f t="shared" si="47"/>
        <v>678801.13000000012</v>
      </c>
      <c r="H158" s="6">
        <f t="shared" si="47"/>
        <v>-242083.41999999993</v>
      </c>
      <c r="I158" s="6">
        <f t="shared" si="47"/>
        <v>-199322.84000000003</v>
      </c>
      <c r="J158" s="6">
        <f t="shared" si="47"/>
        <v>-3837.5100000000093</v>
      </c>
      <c r="K158" s="6">
        <f t="shared" si="47"/>
        <v>-15309.400000000001</v>
      </c>
      <c r="L158" s="6">
        <f t="shared" si="47"/>
        <v>-64082.060000000012</v>
      </c>
      <c r="M158" s="6">
        <f t="shared" si="47"/>
        <v>-554428.41000000015</v>
      </c>
      <c r="N158" s="6">
        <f t="shared" si="40"/>
        <v>-282198.63</v>
      </c>
    </row>
    <row r="159" spans="1:14" x14ac:dyDescent="0.25">
      <c r="A159" s="3" t="s">
        <v>166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5">
      <c r="A160" s="3" t="s">
        <v>167</v>
      </c>
      <c r="B160" s="5">
        <f>136.9</f>
        <v>136.9</v>
      </c>
      <c r="C160" s="5">
        <f>122.74</f>
        <v>122.74</v>
      </c>
      <c r="D160" s="4"/>
      <c r="E160" s="5">
        <f>260.68</f>
        <v>260.68</v>
      </c>
      <c r="F160" s="5">
        <f>132.07</f>
        <v>132.07</v>
      </c>
      <c r="G160" s="4"/>
      <c r="H160" s="5">
        <f>260.15</f>
        <v>260.14999999999998</v>
      </c>
      <c r="I160" s="5">
        <f>205.13</f>
        <v>205.13</v>
      </c>
      <c r="J160" s="5">
        <f>205.35</f>
        <v>205.35</v>
      </c>
      <c r="K160" s="5">
        <f>198.92</f>
        <v>198.92</v>
      </c>
      <c r="L160" s="5">
        <f>199.14</f>
        <v>199.14</v>
      </c>
      <c r="M160" s="5">
        <f>205.98</f>
        <v>205.98</v>
      </c>
      <c r="N160" s="5">
        <f>(((((((((((B160)+(C160))+(D160))+(E160))+(F160))+(G160))+(H160))+(I160))+(J160))+(K160))+(L160))+(M160)</f>
        <v>1927.06</v>
      </c>
    </row>
    <row r="161" spans="1:14" x14ac:dyDescent="0.25">
      <c r="A161" s="3" t="s">
        <v>168</v>
      </c>
      <c r="B161" s="6">
        <f t="shared" ref="B161:M161" si="48">B160</f>
        <v>136.9</v>
      </c>
      <c r="C161" s="6">
        <f t="shared" si="48"/>
        <v>122.74</v>
      </c>
      <c r="D161" s="6">
        <f t="shared" si="48"/>
        <v>0</v>
      </c>
      <c r="E161" s="6">
        <f t="shared" si="48"/>
        <v>260.68</v>
      </c>
      <c r="F161" s="6">
        <f t="shared" si="48"/>
        <v>132.07</v>
      </c>
      <c r="G161" s="6">
        <f t="shared" si="48"/>
        <v>0</v>
      </c>
      <c r="H161" s="6">
        <f t="shared" si="48"/>
        <v>260.14999999999998</v>
      </c>
      <c r="I161" s="6">
        <f t="shared" si="48"/>
        <v>205.13</v>
      </c>
      <c r="J161" s="6">
        <f t="shared" si="48"/>
        <v>205.35</v>
      </c>
      <c r="K161" s="6">
        <f t="shared" si="48"/>
        <v>198.92</v>
      </c>
      <c r="L161" s="6">
        <f t="shared" si="48"/>
        <v>199.14</v>
      </c>
      <c r="M161" s="6">
        <f t="shared" si="48"/>
        <v>205.98</v>
      </c>
      <c r="N161" s="6">
        <f>(((((((((((B161)+(C161))+(D161))+(E161))+(F161))+(G161))+(H161))+(I161))+(J161))+(K161))+(L161))+(M161)</f>
        <v>1927.06</v>
      </c>
    </row>
    <row r="162" spans="1:14" x14ac:dyDescent="0.25">
      <c r="A162" s="3" t="s">
        <v>169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3" t="s">
        <v>170</v>
      </c>
      <c r="B163" s="5">
        <f>4793</f>
        <v>4793</v>
      </c>
      <c r="C163" s="5">
        <f>4793</f>
        <v>4793</v>
      </c>
      <c r="D163" s="5">
        <f>4793</f>
        <v>4793</v>
      </c>
      <c r="E163" s="5">
        <f>4793</f>
        <v>4793</v>
      </c>
      <c r="F163" s="5">
        <f>4793</f>
        <v>4793</v>
      </c>
      <c r="G163" s="5">
        <f>4793</f>
        <v>4793</v>
      </c>
      <c r="H163" s="5">
        <f>4793</f>
        <v>4793</v>
      </c>
      <c r="I163" s="5">
        <f>4793</f>
        <v>4793</v>
      </c>
      <c r="J163" s="5">
        <f>4793</f>
        <v>4793</v>
      </c>
      <c r="K163" s="5">
        <f>4793</f>
        <v>4793</v>
      </c>
      <c r="L163" s="5">
        <f>4793</f>
        <v>4793</v>
      </c>
      <c r="M163" s="5">
        <f>4793</f>
        <v>4793</v>
      </c>
      <c r="N163" s="5">
        <f>(((((((((((B163)+(C163))+(D163))+(E163))+(F163))+(G163))+(H163))+(I163))+(J163))+(K163))+(L163))+(M163)</f>
        <v>57516</v>
      </c>
    </row>
    <row r="164" spans="1:14" x14ac:dyDescent="0.25">
      <c r="A164" s="3" t="s">
        <v>171</v>
      </c>
      <c r="B164" s="6">
        <f t="shared" ref="B164:M164" si="49">B163</f>
        <v>4793</v>
      </c>
      <c r="C164" s="6">
        <f t="shared" si="49"/>
        <v>4793</v>
      </c>
      <c r="D164" s="6">
        <f t="shared" si="49"/>
        <v>4793</v>
      </c>
      <c r="E164" s="6">
        <f t="shared" si="49"/>
        <v>4793</v>
      </c>
      <c r="F164" s="6">
        <f t="shared" si="49"/>
        <v>4793</v>
      </c>
      <c r="G164" s="6">
        <f t="shared" si="49"/>
        <v>4793</v>
      </c>
      <c r="H164" s="6">
        <f t="shared" si="49"/>
        <v>4793</v>
      </c>
      <c r="I164" s="6">
        <f t="shared" si="49"/>
        <v>4793</v>
      </c>
      <c r="J164" s="6">
        <f t="shared" si="49"/>
        <v>4793</v>
      </c>
      <c r="K164" s="6">
        <f t="shared" si="49"/>
        <v>4793</v>
      </c>
      <c r="L164" s="6">
        <f t="shared" si="49"/>
        <v>4793</v>
      </c>
      <c r="M164" s="6">
        <f t="shared" si="49"/>
        <v>4793</v>
      </c>
      <c r="N164" s="6">
        <f>(((((((((((B164)+(C164))+(D164))+(E164))+(F164))+(G164))+(H164))+(I164))+(J164))+(K164))+(L164))+(M164)</f>
        <v>57516</v>
      </c>
    </row>
    <row r="165" spans="1:14" x14ac:dyDescent="0.25">
      <c r="A165" s="3" t="s">
        <v>172</v>
      </c>
      <c r="B165" s="6">
        <f t="shared" ref="B165:M165" si="50">(B161)-(B164)</f>
        <v>-4656.1000000000004</v>
      </c>
      <c r="C165" s="6">
        <f t="shared" si="50"/>
        <v>-4670.26</v>
      </c>
      <c r="D165" s="6">
        <f t="shared" si="50"/>
        <v>-4793</v>
      </c>
      <c r="E165" s="6">
        <f t="shared" si="50"/>
        <v>-4532.32</v>
      </c>
      <c r="F165" s="6">
        <f t="shared" si="50"/>
        <v>-4660.93</v>
      </c>
      <c r="G165" s="6">
        <f t="shared" si="50"/>
        <v>-4793</v>
      </c>
      <c r="H165" s="6">
        <f t="shared" si="50"/>
        <v>-4532.8500000000004</v>
      </c>
      <c r="I165" s="6">
        <f t="shared" si="50"/>
        <v>-4587.87</v>
      </c>
      <c r="J165" s="6">
        <f t="shared" si="50"/>
        <v>-4587.6499999999996</v>
      </c>
      <c r="K165" s="6">
        <f t="shared" si="50"/>
        <v>-4594.08</v>
      </c>
      <c r="L165" s="6">
        <f t="shared" si="50"/>
        <v>-4593.8599999999997</v>
      </c>
      <c r="M165" s="6">
        <f t="shared" si="50"/>
        <v>-4587.0200000000004</v>
      </c>
      <c r="N165" s="6">
        <f>(((((((((((B165)+(C165))+(D165))+(E165))+(F165))+(G165))+(H165))+(I165))+(J165))+(K165))+(L165))+(M165)</f>
        <v>-55588.94</v>
      </c>
    </row>
    <row r="166" spans="1:14" x14ac:dyDescent="0.25">
      <c r="A166" s="3" t="s">
        <v>173</v>
      </c>
      <c r="B166" s="7">
        <f t="shared" ref="B166:M166" si="51">(B158)+(B165)</f>
        <v>7855.5899999999874</v>
      </c>
      <c r="C166" s="7">
        <f t="shared" si="51"/>
        <v>87075.89</v>
      </c>
      <c r="D166" s="7">
        <f t="shared" si="51"/>
        <v>3774.3700000000099</v>
      </c>
      <c r="E166" s="7">
        <f t="shared" si="51"/>
        <v>13530.609999999993</v>
      </c>
      <c r="F166" s="7">
        <f t="shared" si="51"/>
        <v>-17485.19000000001</v>
      </c>
      <c r="G166" s="7">
        <f t="shared" si="51"/>
        <v>674008.13000000012</v>
      </c>
      <c r="H166" s="7">
        <f t="shared" si="51"/>
        <v>-246616.26999999993</v>
      </c>
      <c r="I166" s="7">
        <f t="shared" si="51"/>
        <v>-203910.71000000002</v>
      </c>
      <c r="J166" s="7">
        <f t="shared" si="51"/>
        <v>-8425.1600000000089</v>
      </c>
      <c r="K166" s="7">
        <f t="shared" si="51"/>
        <v>-19903.480000000003</v>
      </c>
      <c r="L166" s="7">
        <f t="shared" si="51"/>
        <v>-68675.920000000013</v>
      </c>
      <c r="M166" s="7">
        <f t="shared" si="51"/>
        <v>-559015.43000000017</v>
      </c>
      <c r="N166" s="7">
        <f>(((((((((((B166)+(C166))+(D166))+(E166))+(F166))+(G166))+(H166))+(I166))+(J166))+(K166))+(L166))+(M166)</f>
        <v>-337787.56999999995</v>
      </c>
    </row>
    <row r="167" spans="1:14" x14ac:dyDescent="0.25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70" spans="1:14" x14ac:dyDescent="0.25">
      <c r="A170" s="8" t="s">
        <v>174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</sheetData>
  <mergeCells count="4">
    <mergeCell ref="A170:N170"/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 by 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 Wilson</cp:lastModifiedBy>
  <dcterms:created xsi:type="dcterms:W3CDTF">2024-09-05T21:20:49Z</dcterms:created>
  <dcterms:modified xsi:type="dcterms:W3CDTF">2024-09-05T21:23:09Z</dcterms:modified>
</cp:coreProperties>
</file>